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60" yWindow="65266" windowWidth="13905" windowHeight="11820" tabRatio="796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  <sheet name="Sheet2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<sst xmlns="http://schemas.openxmlformats.org/spreadsheetml/2006/main" count="1058" uniqueCount="872">
  <si>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</si>
  <si>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</si>
  <si>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</si>
  <si>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</si>
  <si>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</si>
  <si>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</si>
  <si>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</si>
  <si>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</si>
  <si>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</si>
  <si>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</si>
  <si>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</si>
  <si>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</si>
  <si>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</si>
  <si>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</si>
  <si>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</si>
  <si>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</si>
  <si>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</si>
  <si>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</si>
  <si>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</si>
  <si>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</si>
  <si>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</si>
  <si>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</si>
  <si>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</si>
  <si>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</si>
  <si>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</si>
  <si>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</si>
  <si>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</si>
  <si>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</si>
  <si>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</si>
  <si>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</si>
  <si>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</si>
  <si>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</si>
  <si>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</si>
  <si>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</si>
  <si>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</si>
  <si>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</si>
  <si>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</si>
  <si>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</si>
  <si>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</si>
  <si>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</si>
  <si>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</si>
  <si>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</si>
  <si>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</si>
  <si>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</si>
  <si>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</si>
  <si>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</si>
  <si>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</si>
  <si>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</si>
  <si>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</si>
  <si>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</si>
  <si>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</si>
  <si>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</si>
  <si>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</si>
  <si>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</si>
  <si>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</si>
  <si>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</si>
  <si>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</si>
  <si>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</si>
  <si>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</si>
  <si>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</si>
  <si>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</si>
  <si>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</si>
  <si>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</si>
  <si>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</si>
  <si>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</si>
  <si>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</si>
  <si>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</si>
  <si>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</si>
  <si>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</si>
  <si>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</si>
  <si>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</si>
  <si>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</si>
  <si>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</si>
  <si>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</si>
  <si>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</si>
  <si>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</si>
  <si>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</si>
  <si>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</si>
  <si>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</si>
  <si>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</si>
  <si>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</si>
  <si>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</si>
  <si>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</si>
  <si>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</si>
  <si>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</si>
  <si>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</si>
  <si>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</si>
  <si>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</si>
  <si>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</si>
  <si>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</si>
  <si>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</si>
  <si>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</si>
  <si>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</si>
  <si>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</si>
  <si>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</si>
  <si>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</si>
  <si>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</si>
  <si>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</si>
  <si>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</si>
  <si>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</si>
  <si>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</si>
  <si>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</si>
  <si>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</si>
  <si>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</si>
  <si>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</si>
  <si>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</si>
  <si>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</si>
  <si>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</si>
  <si>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</si>
  <si>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</si>
  <si>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</si>
  <si>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</si>
  <si>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</si>
  <si>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</si>
  <si>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</si>
  <si>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</si>
  <si>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</si>
  <si>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</si>
  <si>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</si>
  <si>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</si>
  <si>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</si>
  <si>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</si>
  <si>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</si>
  <si>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</si>
  <si>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</si>
  <si>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</si>
  <si>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</si>
  <si>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</si>
  <si>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</si>
  <si>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</si>
  <si>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</si>
  <si>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</si>
  <si>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</si>
  <si>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</si>
  <si>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</si>
  <si>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</si>
  <si>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</si>
  <si>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</si>
  <si>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</si>
  <si>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</si>
  <si>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</si>
  <si>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</si>
  <si>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</si>
  <si>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</si>
  <si>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</si>
  <si>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</si>
  <si>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</si>
  <si>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</si>
  <si>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</si>
  <si>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</si>
  <si>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</si>
  <si>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</si>
  <si>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</si>
  <si>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</si>
  <si>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</si>
  <si>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</si>
  <si>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</si>
  <si>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</si>
  <si>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</si>
  <si>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</si>
  <si>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</si>
  <si>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</si>
  <si>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</si>
  <si>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</si>
  <si>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</si>
  <si>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</si>
  <si>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</si>
  <si>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</si>
  <si>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</si>
  <si>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</si>
  <si>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</si>
  <si>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</si>
  <si>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</si>
  <si>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</si>
  <si>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</si>
  <si>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</si>
  <si>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</si>
  <si>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</si>
  <si>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</si>
  <si>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</si>
  <si>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</si>
  <si>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</si>
  <si>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</si>
  <si>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</si>
  <si>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</si>
  <si>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</si>
  <si>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</si>
  <si>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</si>
  <si>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</si>
  <si>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</si>
  <si>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</si>
  <si>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</si>
  <si>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</si>
  <si>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</si>
  <si>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</si>
  <si>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</si>
  <si>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</si>
  <si>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</si>
  <si>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</si>
  <si>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</si>
  <si>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</si>
  <si>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</si>
  <si>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</si>
  <si>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</si>
  <si>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</si>
  <si>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</si>
  <si>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</si>
  <si>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</si>
  <si>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</si>
  <si>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</si>
  <si>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</si>
  <si>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</si>
  <si>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</si>
  <si>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</si>
  <si>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</si>
  <si>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</si>
  <si>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</si>
  <si>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</si>
  <si>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</si>
  <si>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</si>
  <si>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</si>
  <si>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</si>
  <si>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</si>
  <si>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</si>
  <si>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</si>
  <si>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</si>
  <si>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</si>
  <si>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</si>
  <si>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</si>
  <si>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</si>
  <si>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</si>
  <si>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</si>
  <si>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</si>
  <si>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</si>
  <si>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</si>
  <si>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</si>
  <si>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</si>
  <si>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</si>
  <si>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</si>
  <si>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</si>
  <si>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</si>
  <si>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</si>
  <si>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</si>
  <si>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</si>
  <si>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</si>
  <si>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</si>
  <si>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</si>
  <si>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</si>
  <si>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</si>
  <si>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</si>
  <si>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</si>
  <si>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</si>
  <si>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</si>
  <si>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</si>
  <si>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</si>
  <si>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</si>
  <si>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</si>
  <si>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</si>
  <si>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</si>
  <si>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</si>
  <si>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</si>
  <si>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</si>
  <si>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</si>
  <si>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</si>
  <si>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</si>
  <si>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</si>
  <si>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</si>
  <si>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</si>
  <si>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</si>
  <si>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</si>
  <si>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</si>
  <si>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</si>
  <si>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</si>
  <si>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</si>
  <si>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</si>
  <si>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</si>
  <si>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</si>
  <si>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</si>
  <si>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</si>
  <si>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</si>
  <si>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</si>
  <si>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</si>
  <si>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</si>
  <si>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</si>
  <si>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</si>
  <si>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</si>
  <si>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</si>
  <si>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</si>
  <si>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</si>
  <si>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</si>
  <si>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</si>
  <si>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</si>
  <si>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</si>
  <si>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</si>
  <si>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</si>
  <si>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</si>
  <si>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</si>
  <si>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</si>
  <si>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</si>
  <si>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</si>
  <si>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</si>
  <si>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</si>
  <si>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</si>
  <si>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</si>
  <si>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</si>
  <si>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</si>
  <si>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</si>
  <si>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</si>
  <si>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</si>
  <si>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</si>
  <si>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</si>
  <si>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</si>
  <si>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</si>
  <si>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</si>
  <si>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</si>
  <si>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</si>
  <si>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</si>
  <si>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</si>
  <si>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</si>
  <si>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</si>
  <si>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</si>
  <si>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</si>
  <si>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</si>
  <si>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</si>
  <si>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</si>
  <si>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</si>
  <si>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</si>
  <si>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</si>
  <si>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</si>
  <si>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</si>
  <si>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</si>
  <si>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</si>
  <si>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</si>
  <si>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</si>
  <si>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</si>
  <si>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</si>
  <si>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</si>
  <si>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</si>
  <si>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</si>
  <si>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</si>
  <si>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</si>
  <si>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</si>
  <si>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</si>
  <si>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</si>
  <si>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</si>
  <si>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</si>
  <si>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</si>
  <si>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</si>
  <si>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</si>
  <si>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</si>
  <si>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</si>
  <si>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</si>
  <si>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</si>
  <si>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</si>
  <si>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</si>
  <si>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</si>
  <si>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</si>
  <si>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</si>
  <si>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</si>
  <si>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</si>
  <si>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</si>
  <si>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</si>
  <si>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</si>
  <si>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</si>
  <si>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</si>
  <si>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</si>
  <si>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</si>
  <si>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</si>
  <si>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</si>
  <si>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</si>
  <si>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</si>
  <si>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</si>
  <si>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</si>
  <si>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</si>
  <si>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</si>
  <si>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</si>
  <si>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</si>
  <si>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</si>
  <si>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</si>
  <si>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</si>
  <si>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</si>
  <si>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</si>
  <si>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</si>
  <si>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</si>
  <si>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</si>
  <si>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</si>
  <si>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</si>
  <si>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</si>
  <si>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</si>
  <si>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</si>
  <si>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</si>
  <si>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</si>
  <si>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</si>
  <si>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</si>
  <si>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</si>
  <si>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</si>
  <si>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</si>
  <si>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</si>
  <si>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</si>
  <si>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</si>
  <si>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</si>
  <si>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</si>
  <si>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</si>
  <si>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</si>
  <si>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</si>
  <si>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</si>
  <si>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</si>
  <si>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</si>
  <si>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</si>
  <si>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</si>
  <si>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</si>
  <si>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</si>
  <si>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</si>
  <si>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</si>
  <si>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</si>
  <si>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</si>
  <si>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</si>
  <si>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</si>
  <si>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</si>
  <si>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</si>
  <si>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</si>
  <si>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</si>
  <si>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</si>
  <si>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</si>
  <si>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</si>
  <si>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</si>
  <si>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</si>
  <si>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</si>
  <si>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</si>
  <si>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</si>
  <si>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</si>
  <si>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</si>
  <si>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</si>
  <si>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</si>
  <si>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</si>
  <si>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</si>
  <si>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</si>
  <si>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</si>
  <si>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</si>
  <si>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</si>
  <si>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</si>
  <si>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</si>
  <si>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</si>
  <si>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</si>
  <si>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</si>
  <si>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</si>
  <si>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</si>
  <si>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</si>
  <si>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</si>
  <si>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</si>
  <si>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</si>
  <si>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</si>
  <si>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</si>
  <si>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</si>
  <si>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</si>
  <si>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</si>
  <si>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</si>
  <si>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</si>
  <si>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</si>
  <si>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</si>
  <si>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</si>
  <si>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</si>
  <si>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</si>
  <si>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</si>
  <si>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</si>
  <si>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</si>
  <si>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</si>
  <si>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</si>
  <si>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</si>
  <si>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</si>
  <si>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</si>
  <si>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</si>
  <si>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</si>
  <si>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</si>
  <si>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</si>
  <si>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</si>
  <si>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</si>
  <si>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</si>
  <si>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</si>
  <si>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</si>
  <si>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</si>
  <si>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</si>
  <si>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</si>
  <si>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</si>
  <si>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</si>
  <si>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</si>
  <si>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</si>
  <si>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</si>
  <si>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</si>
  <si>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</si>
  <si>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</si>
  <si>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</si>
  <si>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</si>
  <si>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</si>
  <si>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</si>
  <si>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</si>
  <si>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</si>
  <si>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</si>
  <si>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</si>
  <si>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</si>
  <si>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</si>
  <si>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</si>
  <si>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</si>
  <si>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</si>
  <si>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</si>
  <si>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</si>
  <si>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</si>
  <si>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</si>
  <si>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</si>
  <si>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</si>
  <si>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</si>
  <si>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</si>
  <si>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</si>
  <si>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</si>
  <si>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</si>
  <si>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</si>
  <si>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</si>
  <si>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</si>
  <si>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</si>
  <si>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</si>
  <si>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</si>
  <si>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</si>
  <si>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</si>
  <si>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</si>
  <si>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</si>
  <si>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</si>
  <si>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</si>
  <si>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</si>
  <si>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</si>
  <si>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</si>
  <si>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</si>
  <si>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</si>
  <si>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</si>
  <si>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</si>
  <si>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</si>
  <si>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</si>
  <si>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</si>
  <si>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</si>
  <si>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</si>
  <si>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</si>
  <si>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</si>
  <si>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</si>
  <si>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</si>
  <si>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</si>
  <si>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</si>
  <si>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</si>
  <si>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</si>
  <si>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</si>
  <si>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</si>
  <si>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</si>
  <si>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</si>
  <si>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</si>
  <si>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</si>
  <si>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</si>
  <si>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</si>
  <si>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</si>
  <si>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</si>
  <si>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</si>
  <si>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</si>
  <si>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</si>
  <si>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</si>
  <si>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</si>
  <si>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</si>
  <si>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</si>
  <si>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</si>
  <si>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</si>
  <si>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</si>
  <si>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</si>
  <si>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</si>
  <si>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</si>
  <si>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</si>
  <si>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</si>
  <si>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</si>
  <si>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</si>
  <si>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</si>
  <si>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</si>
  <si>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</si>
  <si>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</si>
  <si>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</si>
  <si>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</si>
  <si>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</si>
  <si>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</si>
  <si>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</si>
  <si>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</si>
  <si>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</si>
  <si>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</si>
  <si>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</si>
  <si>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</si>
  <si>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</si>
  <si>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</si>
  <si>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</si>
  <si>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</si>
  <si>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</si>
  <si>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</si>
  <si>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</si>
  <si>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</si>
  <si>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</si>
  <si>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</si>
  <si>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</si>
  <si>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</si>
  <si>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</si>
  <si>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</si>
  <si>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</si>
  <si>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</si>
  <si>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</si>
  <si>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</si>
  <si>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</si>
  <si>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</si>
  <si>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</si>
  <si>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</si>
  <si>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</si>
  <si>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</si>
  <si>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</si>
  <si>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</si>
  <si>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</si>
  <si>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</si>
  <si>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</si>
  <si>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</si>
  <si>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</si>
  <si>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</si>
  <si>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</si>
  <si>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</si>
  <si>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</si>
  <si>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</si>
  <si>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</si>
  <si>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</si>
  <si>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</si>
  <si>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</si>
  <si>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</si>
  <si>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</si>
  <si>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</si>
  <si>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</si>
  <si>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</si>
  <si>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</si>
  <si>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</si>
  <si>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</si>
  <si>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</si>
  <si>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</si>
  <si>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</si>
  <si>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</si>
  <si>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</si>
  <si>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</si>
  <si>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</si>
  <si>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</si>
  <si>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</si>
  <si>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</si>
  <si>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</si>
  <si>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</si>
  <si>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</si>
  <si>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</si>
  <si>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</si>
  <si>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</si>
  <si>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</si>
  <si>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</si>
  <si>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</si>
  <si>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</si>
  <si>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</si>
  <si>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</si>
  <si>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</si>
  <si>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</si>
  <si>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</si>
  <si>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</si>
  <si>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</si>
  <si>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</si>
  <si>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</si>
  <si>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</si>
  <si>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</si>
  <si>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</si>
  <si>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</si>
  <si>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</si>
  <si>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</si>
  <si>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</si>
  <si>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</si>
  <si>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</si>
  <si>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</si>
  <si>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</si>
  <si>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</si>
  <si>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</si>
  <si>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</si>
  <si>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</si>
  <si>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</si>
  <si>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</si>
  <si>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</si>
  <si>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</si>
  <si>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</si>
  <si>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</si>
  <si>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</si>
  <si>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</si>
  <si>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</si>
  <si>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</si>
  <si>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</si>
  <si>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</si>
  <si>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</si>
  <si>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</si>
  <si>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</si>
  <si>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</si>
  <si>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</si>
  <si>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</si>
  <si>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</si>
  <si>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</si>
  <si>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</si>
  <si>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</si>
  <si>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</si>
  <si>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</si>
  <si>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</si>
  <si>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</si>
  <si>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</si>
  <si>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</si>
  <si>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</si>
  <si>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</si>
  <si>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</si>
  <si>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</si>
  <si>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</si>
  <si>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</si>
  <si>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</si>
  <si>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</si>
  <si>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</si>
  <si>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</si>
  <si>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</si>
  <si>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</si>
  <si>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</si>
  <si>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</si>
  <si>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</si>
  <si>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</si>
  <si>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</si>
  <si>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</si>
  <si>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</si>
  <si>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</si>
  <si>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</si>
  <si>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</si>
  <si>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</si>
  <si>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</si>
  <si>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</si>
  <si>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</si>
  <si>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</si>
  <si>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</si>
  <si>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</si>
  <si>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</si>
  <si>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</si>
  <si>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</si>
  <si>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</si>
  <si>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</si>
  <si>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</si>
  <si>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</si>
  <si>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</si>
  <si>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</si>
  <si>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</si>
  <si>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</si>
  <si>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</si>
  <si>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</si>
  <si>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</si>
  <si>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</si>
  <si>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</si>
  <si>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</si>
  <si>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</si>
  <si>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</si>
  <si>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</si>
  <si>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</si>
  <si>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</si>
  <si>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</si>
  <si>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</si>
  <si>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</si>
  <si>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</si>
  <si>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</si>
  <si>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</si>
  <si>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</si>
  <si>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</si>
  <si>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</si>
  <si>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</si>
  <si>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</si>
  <si>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</si>
  <si>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</si>
  <si>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</si>
  <si>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</si>
  <si>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</si>
  <si>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</si>
  <si>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</si>
  <si>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</si>
  <si>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</si>
  <si>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</si>
  <si>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</si>
  <si>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</si>
  <si>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</si>
  <si>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</si>
  <si>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</si>
  <si>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</si>
  <si>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</si>
  <si>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</si>
  <si>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</si>
  <si>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</si>
  <si>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</si>
  <si>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</si>
  <si>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</si>
  <si>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</si>
  <si>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</si>
  <si>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</si>
  <si>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</si>
  <si>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</si>
  <si>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</si>
  <si>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</si>
  <si>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</si>
  <si>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</si>
  <si>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</si>
  <si>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</si>
  <si>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</si>
  <si>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</si>
  <si>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</si>
  <si>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</si>
  <si>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</si>
  <si>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</si>
  <si>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</si>
  <si>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</si>
  <si>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</si>
  <si>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</si>
  <si>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</si>
  <si>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</si>
  <si>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</si>
  <si>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</si>
  <si>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</si>
  <si>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</si>
  <si>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</si>
  <si>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</si>
  <si>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</si>
  <si>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</si>
  <si>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</si>
  <si>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</si>
  <si>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</si>
  <si>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</si>
  <si>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</si>
  <si>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</si>
  <si>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</si>
  <si>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</si>
  <si>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</si>
  <si>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</si>
  <si>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</si>
  <si>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</si>
  <si>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</si>
  <si>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</si>
  <si>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</si>
  <si>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</si>
  <si>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</si>
  <si>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</si>
  <si>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</si>
  <si>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</si>
  <si>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</si>
  <si>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</si>
  <si>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</si>
  <si>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</si>
  <si>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</si>
  <si>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</si>
  <si>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</si>
  <si>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</si>
  <si>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</si>
  <si>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</si>
  <si>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</si>
  <si>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</si>
  <si>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</si>
  <si>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</si>
  <si>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</si>
  <si>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</si>
  <si>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</si>
  <si>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</si>
  <si>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</si>
  <si>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</si>
  <si>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</si>
  <si>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КОНСОЛИДИРАН</t>
  </si>
  <si>
    <t>Забележка</t>
  </si>
  <si>
    <t xml:space="preserve">Права </t>
  </si>
  <si>
    <t>Дата на съставяне 31.12.2018</t>
  </si>
  <si>
    <t>Дата на съставяне:  31.12.2018</t>
  </si>
  <si>
    <t>Дата  на съставяне:31.12.2018</t>
  </si>
  <si>
    <t>Дата на съставяне: 31.12.2018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</si>
</sst>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>
      <alignment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11" fillId="0" borderId="14" xfId="61" applyNumberFormat="1" applyFont="1" applyFill="1" applyBorder="1" applyAlignment="1" applyProtection="1">
      <alignment horizontal="left" vertical="center" wrapText="1"/>
      <protection/>
    </xf>
    <xf numFmtId="0" fontId="11" fillId="0" borderId="10" xfId="61" applyFont="1" applyFill="1" applyBorder="1" applyProtection="1">
      <alignment/>
      <protection/>
    </xf>
    <xf numFmtId="0" fontId="11" fillId="0" borderId="0" xfId="62" applyFont="1" applyFill="1">
      <alignment/>
      <protection/>
    </xf>
    <xf numFmtId="0" fontId="58" fillId="0" borderId="0" xfId="0" applyFont="1" applyBorder="1" applyAlignment="1">
      <alignment horizontal="right" vertical="center" wrapText="1"/>
    </xf>
    <xf numFmtId="0" fontId="21" fillId="0" borderId="0" xfId="62" applyFont="1" applyBorder="1">
      <alignment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left" vertical="center" wrapText="1"/>
      <protection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1" applyNumberFormat="1" applyFont="1" applyFill="1" applyBorder="1" applyAlignment="1" applyProtection="1">
      <alignment horizontal="right" vertical="center"/>
      <protection locked="0"/>
    </xf>
    <xf numFmtId="1" fontId="11" fillId="0" borderId="0" xfId="62" applyNumberFormat="1" applyFont="1">
      <alignment/>
      <protection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0" borderId="13" xfId="61" applyNumberFormat="1" applyFont="1" applyFill="1" applyBorder="1" applyAlignment="1" applyProtection="1">
      <alignment horizontal="right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E21" sqref="E2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9" t="s">
        <v>384</v>
      </c>
      <c r="B3" s="590"/>
      <c r="C3" s="590"/>
      <c r="D3" s="590"/>
      <c r="E3" s="462" t="s">
        <v>864</v>
      </c>
      <c r="F3" s="217" t="s">
        <v>2</v>
      </c>
      <c r="G3" s="172"/>
      <c r="H3" s="461" t="s">
        <v>159</v>
      </c>
    </row>
    <row r="4" spans="1:8" ht="15">
      <c r="A4" s="589" t="s">
        <v>3</v>
      </c>
      <c r="B4" s="595"/>
      <c r="C4" s="595"/>
      <c r="D4" s="595"/>
      <c r="E4" s="504" t="s">
        <v>865</v>
      </c>
      <c r="F4" s="591" t="s">
        <v>4</v>
      </c>
      <c r="G4" s="592"/>
      <c r="H4" s="461" t="s">
        <v>159</v>
      </c>
    </row>
    <row r="5" spans="1:8" ht="15">
      <c r="A5" s="589" t="s">
        <v>5</v>
      </c>
      <c r="B5" s="590"/>
      <c r="C5" s="590"/>
      <c r="D5" s="590"/>
      <c r="E5" s="505">
        <v>43465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19858</v>
      </c>
      <c r="D11" s="151">
        <v>13902</v>
      </c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>
        <v>9461</v>
      </c>
      <c r="D12" s="151">
        <v>8827</v>
      </c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31742</v>
      </c>
      <c r="D13" s="151">
        <v>29544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2376</v>
      </c>
      <c r="D15" s="151">
        <v>1316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196</v>
      </c>
      <c r="D16" s="151">
        <v>165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1466</v>
      </c>
      <c r="D17" s="151">
        <v>953</v>
      </c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105</v>
      </c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65204</v>
      </c>
      <c r="D19" s="155">
        <f>SUM(D11:D18)</f>
        <v>54707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1018</v>
      </c>
      <c r="D21" s="151">
        <v>277</v>
      </c>
      <c r="E21" s="251" t="s">
        <v>61</v>
      </c>
      <c r="F21" s="242" t="s">
        <v>62</v>
      </c>
      <c r="G21" s="156">
        <f>SUM(G22:G24)</f>
        <v>3881</v>
      </c>
      <c r="H21" s="156">
        <f>SUM(H22:H24)</f>
        <v>3806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3881</v>
      </c>
      <c r="H22" s="152">
        <v>3806</v>
      </c>
    </row>
    <row r="23" spans="1:13" ht="15">
      <c r="A23" s="235" t="s">
        <v>66</v>
      </c>
      <c r="B23" s="241" t="s">
        <v>67</v>
      </c>
      <c r="C23" s="151">
        <v>64</v>
      </c>
      <c r="D23" s="151">
        <v>85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116</v>
      </c>
      <c r="D24" s="151">
        <v>94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3881</v>
      </c>
      <c r="H25" s="154">
        <f>H19+H20+H21</f>
        <v>3806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180</v>
      </c>
      <c r="D27" s="155">
        <f>SUM(D23:D26)</f>
        <v>179</v>
      </c>
      <c r="E27" s="253" t="s">
        <v>83</v>
      </c>
      <c r="F27" s="242" t="s">
        <v>84</v>
      </c>
      <c r="G27" s="154">
        <f>SUM(G28:G30)</f>
        <v>19000</v>
      </c>
      <c r="H27" s="154">
        <f>SUM(H28:H30)</f>
        <v>17918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19000</v>
      </c>
      <c r="H28" s="152">
        <v>17918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5090</v>
      </c>
      <c r="H31" s="152">
        <v>3815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24090</v>
      </c>
      <c r="H33" s="154">
        <f>H27+H31+H32</f>
        <v>21733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68328</v>
      </c>
      <c r="H36" s="154">
        <f>H25+H17+H33</f>
        <v>65896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5306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5769</v>
      </c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5769</v>
      </c>
      <c r="D51" s="155">
        <f>SUM(D47:D50)</f>
        <v>5306</v>
      </c>
      <c r="E51" s="251" t="s">
        <v>157</v>
      </c>
      <c r="F51" s="245" t="s">
        <v>158</v>
      </c>
      <c r="G51" s="152">
        <v>52</v>
      </c>
      <c r="H51" s="152">
        <v>26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344</v>
      </c>
      <c r="H53" s="152">
        <v>319</v>
      </c>
    </row>
    <row r="54" spans="1:8" ht="15">
      <c r="A54" s="235" t="s">
        <v>166</v>
      </c>
      <c r="B54" s="249" t="s">
        <v>167</v>
      </c>
      <c r="C54" s="151">
        <v>57</v>
      </c>
      <c r="D54" s="151">
        <v>41</v>
      </c>
      <c r="E54" s="237" t="s">
        <v>168</v>
      </c>
      <c r="F54" s="245" t="s">
        <v>169</v>
      </c>
      <c r="G54" s="152">
        <v>131</v>
      </c>
      <c r="H54" s="152">
        <v>210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72228</v>
      </c>
      <c r="D55" s="155">
        <f>D19+D20+D21+D27+D32+D45+D51+D53+D54</f>
        <v>60510</v>
      </c>
      <c r="E55" s="237" t="s">
        <v>172</v>
      </c>
      <c r="F55" s="261" t="s">
        <v>173</v>
      </c>
      <c r="G55" s="154">
        <f>G49+G51+G52+G53+G54</f>
        <v>527</v>
      </c>
      <c r="H55" s="154">
        <f>H49+H51+H52+H53+H54</f>
        <v>555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1524</v>
      </c>
      <c r="D58" s="151">
        <v>1535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4517</v>
      </c>
      <c r="D59" s="151">
        <v>3560</v>
      </c>
      <c r="E59" s="251" t="s">
        <v>181</v>
      </c>
      <c r="F59" s="242" t="s">
        <v>182</v>
      </c>
      <c r="G59" s="152">
        <v>37337</v>
      </c>
      <c r="H59" s="152">
        <v>32294</v>
      </c>
      <c r="M59" s="157"/>
    </row>
    <row r="60" spans="1:8" ht="15">
      <c r="A60" s="235" t="s">
        <v>183</v>
      </c>
      <c r="B60" s="241" t="s">
        <v>184</v>
      </c>
      <c r="C60" s="151">
        <v>8167</v>
      </c>
      <c r="D60" s="151">
        <v>11030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5525</v>
      </c>
      <c r="D61" s="151">
        <v>4870</v>
      </c>
      <c r="E61" s="243" t="s">
        <v>189</v>
      </c>
      <c r="F61" s="272" t="s">
        <v>190</v>
      </c>
      <c r="G61" s="154">
        <f>SUM(G62:G68)</f>
        <v>3816</v>
      </c>
      <c r="H61" s="154">
        <f>SUM(H62:H68)</f>
        <v>2401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46</v>
      </c>
    </row>
    <row r="63" spans="1:13" ht="15">
      <c r="A63" s="235" t="s">
        <v>195</v>
      </c>
      <c r="B63" s="241" t="s">
        <v>196</v>
      </c>
      <c r="C63" s="151"/>
      <c r="D63" s="151">
        <v>4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19733</v>
      </c>
      <c r="D64" s="155">
        <f>SUM(D58:D63)</f>
        <v>20999</v>
      </c>
      <c r="E64" s="237" t="s">
        <v>200</v>
      </c>
      <c r="F64" s="242" t="s">
        <v>201</v>
      </c>
      <c r="G64" s="152">
        <v>2860</v>
      </c>
      <c r="H64" s="152">
        <v>1713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459</v>
      </c>
      <c r="H66" s="152">
        <v>249</v>
      </c>
    </row>
    <row r="67" spans="1:8" ht="15">
      <c r="A67" s="235" t="s">
        <v>207</v>
      </c>
      <c r="B67" s="241" t="s">
        <v>208</v>
      </c>
      <c r="C67" s="151">
        <v>1500</v>
      </c>
      <c r="D67" s="151">
        <v>1257</v>
      </c>
      <c r="E67" s="237" t="s">
        <v>209</v>
      </c>
      <c r="F67" s="242" t="s">
        <v>210</v>
      </c>
      <c r="G67" s="152">
        <v>198</v>
      </c>
      <c r="H67" s="152">
        <v>142</v>
      </c>
    </row>
    <row r="68" spans="1:8" ht="15">
      <c r="A68" s="235" t="s">
        <v>211</v>
      </c>
      <c r="B68" s="241" t="s">
        <v>212</v>
      </c>
      <c r="C68" s="151">
        <v>14082</v>
      </c>
      <c r="D68" s="151">
        <v>4314</v>
      </c>
      <c r="E68" s="237" t="s">
        <v>213</v>
      </c>
      <c r="F68" s="242" t="s">
        <v>214</v>
      </c>
      <c r="G68" s="152">
        <f>173+126</f>
        <v>299</v>
      </c>
      <c r="H68" s="152">
        <v>251</v>
      </c>
    </row>
    <row r="69" spans="1:8" ht="15">
      <c r="A69" s="235" t="s">
        <v>215</v>
      </c>
      <c r="B69" s="241" t="s">
        <v>216</v>
      </c>
      <c r="C69" s="151"/>
      <c r="D69" s="151">
        <v>6750</v>
      </c>
      <c r="E69" s="251" t="s">
        <v>78</v>
      </c>
      <c r="F69" s="242" t="s">
        <v>217</v>
      </c>
      <c r="G69" s="152">
        <v>1238</v>
      </c>
      <c r="H69" s="152"/>
    </row>
    <row r="70" spans="1:8" ht="15">
      <c r="A70" s="235" t="s">
        <v>218</v>
      </c>
      <c r="B70" s="241" t="s">
        <v>219</v>
      </c>
      <c r="C70" s="151">
        <v>2729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42391</v>
      </c>
      <c r="H71" s="161">
        <f>H59+H60+H61+H69+H70</f>
        <v>34695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107</v>
      </c>
      <c r="D72" s="151">
        <v>151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806</v>
      </c>
      <c r="D74" s="151">
        <v>166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19224</v>
      </c>
      <c r="D75" s="155">
        <f>SUM(D67:D74)</f>
        <v>12638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78</v>
      </c>
      <c r="H76" s="152">
        <v>78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42469</v>
      </c>
      <c r="H79" s="162">
        <f>H71+H74+H75+H76</f>
        <v>34773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>
        <v>6467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6467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36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82</v>
      </c>
      <c r="D88" s="151">
        <v>121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118</v>
      </c>
      <c r="D91" s="155">
        <f>SUM(D87:D90)</f>
        <v>141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21</v>
      </c>
      <c r="D92" s="151">
        <v>469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39096</v>
      </c>
      <c r="D93" s="155">
        <f>D64+D75+D84+D91+D92</f>
        <v>40714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111324</v>
      </c>
      <c r="D94" s="164">
        <f>D93+D55</f>
        <v>101224</v>
      </c>
      <c r="E94" s="449" t="s">
        <v>270</v>
      </c>
      <c r="F94" s="289" t="s">
        <v>271</v>
      </c>
      <c r="G94" s="165">
        <f>G36+G39+G55+G79</f>
        <v>111324</v>
      </c>
      <c r="H94" s="165">
        <f>H36+H39+H55+H79</f>
        <v>101224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93" t="s">
        <v>273</v>
      </c>
      <c r="D98" s="593"/>
      <c r="E98" s="59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3" t="s">
        <v>856</v>
      </c>
      <c r="D100" s="594"/>
      <c r="E100" s="59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37">
      <selection activeCell="B42" sqref="B4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8" t="str">
        <f>'справка №1-БАЛАНС'!E3</f>
        <v>БГ  АГРО  АД</v>
      </c>
      <c r="C2" s="598"/>
      <c r="D2" s="598"/>
      <c r="E2" s="598"/>
      <c r="F2" s="600" t="s">
        <v>2</v>
      </c>
      <c r="G2" s="600"/>
      <c r="H2" s="526" t="str">
        <f>'справка №1-БАЛАНС'!H3</f>
        <v> </v>
      </c>
    </row>
    <row r="3" spans="1:8" ht="15">
      <c r="A3" s="467" t="s">
        <v>275</v>
      </c>
      <c r="B3" s="598" t="str">
        <f>'справка №1-БАЛАНС'!E4</f>
        <v>КОНСОЛИДИРАН</v>
      </c>
      <c r="C3" s="598"/>
      <c r="D3" s="598"/>
      <c r="E3" s="598"/>
      <c r="F3" s="545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9">
        <f>'справка №1-БАЛАНС'!E5</f>
        <v>43465</v>
      </c>
      <c r="C4" s="599"/>
      <c r="D4" s="599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7502</v>
      </c>
      <c r="D9" s="46">
        <v>7770</v>
      </c>
      <c r="E9" s="298" t="s">
        <v>285</v>
      </c>
      <c r="F9" s="548" t="s">
        <v>286</v>
      </c>
      <c r="G9" s="549">
        <v>15235</v>
      </c>
      <c r="H9" s="549">
        <v>16493</v>
      </c>
    </row>
    <row r="10" spans="1:8" ht="12">
      <c r="A10" s="298" t="s">
        <v>287</v>
      </c>
      <c r="B10" s="299" t="s">
        <v>288</v>
      </c>
      <c r="C10" s="46">
        <f>10389+6</f>
        <v>10395</v>
      </c>
      <c r="D10" s="46">
        <v>10945</v>
      </c>
      <c r="E10" s="298" t="s">
        <v>289</v>
      </c>
      <c r="F10" s="548" t="s">
        <v>290</v>
      </c>
      <c r="G10" s="549">
        <v>73017</v>
      </c>
      <c r="H10" s="549">
        <v>59672</v>
      </c>
    </row>
    <row r="11" spans="1:8" ht="12">
      <c r="A11" s="298" t="s">
        <v>291</v>
      </c>
      <c r="B11" s="299" t="s">
        <v>292</v>
      </c>
      <c r="C11" s="46">
        <v>2810</v>
      </c>
      <c r="D11" s="46">
        <v>2615</v>
      </c>
      <c r="E11" s="300" t="s">
        <v>293</v>
      </c>
      <c r="F11" s="548" t="s">
        <v>294</v>
      </c>
      <c r="G11" s="549">
        <v>2666</v>
      </c>
      <c r="H11" s="549">
        <v>2257</v>
      </c>
    </row>
    <row r="12" spans="1:8" ht="12">
      <c r="A12" s="298" t="s">
        <v>295</v>
      </c>
      <c r="B12" s="299" t="s">
        <v>296</v>
      </c>
      <c r="C12" s="46">
        <v>5361</v>
      </c>
      <c r="D12" s="46">
        <v>4520</v>
      </c>
      <c r="E12" s="300" t="s">
        <v>78</v>
      </c>
      <c r="F12" s="548" t="s">
        <v>297</v>
      </c>
      <c r="G12" s="549">
        <f>583+168+1213+80</f>
        <v>2044</v>
      </c>
      <c r="H12" s="549">
        <v>1398</v>
      </c>
    </row>
    <row r="13" spans="1:18" ht="12">
      <c r="A13" s="298" t="s">
        <v>298</v>
      </c>
      <c r="B13" s="299" t="s">
        <v>299</v>
      </c>
      <c r="C13" s="46">
        <v>801</v>
      </c>
      <c r="D13" s="46">
        <v>636</v>
      </c>
      <c r="E13" s="301" t="s">
        <v>51</v>
      </c>
      <c r="F13" s="550" t="s">
        <v>300</v>
      </c>
      <c r="G13" s="547">
        <f>SUM(G9:G12)</f>
        <v>92962</v>
      </c>
      <c r="H13" s="547">
        <f>SUM(H9:H12)</f>
        <v>79820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64997</v>
      </c>
      <c r="D14" s="46">
        <v>53312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-2028</v>
      </c>
      <c r="D15" s="47">
        <v>-1260</v>
      </c>
      <c r="E15" s="296" t="s">
        <v>305</v>
      </c>
      <c r="F15" s="553" t="s">
        <v>306</v>
      </c>
      <c r="G15" s="549">
        <v>4600</v>
      </c>
      <c r="H15" s="549">
        <v>4658</v>
      </c>
    </row>
    <row r="16" spans="1:8" ht="12">
      <c r="A16" s="298" t="s">
        <v>307</v>
      </c>
      <c r="B16" s="299" t="s">
        <v>308</v>
      </c>
      <c r="C16" s="47">
        <v>1915</v>
      </c>
      <c r="D16" s="47">
        <v>1573</v>
      </c>
      <c r="E16" s="298" t="s">
        <v>309</v>
      </c>
      <c r="F16" s="551" t="s">
        <v>310</v>
      </c>
      <c r="G16" s="554">
        <f>52+4548</f>
        <v>4600</v>
      </c>
      <c r="H16" s="554">
        <v>4091</v>
      </c>
    </row>
    <row r="17" spans="1:8" ht="12">
      <c r="A17" s="302" t="s">
        <v>311</v>
      </c>
      <c r="B17" s="299" t="s">
        <v>312</v>
      </c>
      <c r="C17" s="48"/>
      <c r="D17" s="48">
        <v>4</v>
      </c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91753</v>
      </c>
      <c r="D19" s="49">
        <f>SUM(D9:D15)+D16</f>
        <v>80111</v>
      </c>
      <c r="E19" s="304" t="s">
        <v>317</v>
      </c>
      <c r="F19" s="551" t="s">
        <v>318</v>
      </c>
      <c r="G19" s="549">
        <v>425</v>
      </c>
      <c r="H19" s="549">
        <v>354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641</v>
      </c>
      <c r="D22" s="46">
        <v>544</v>
      </c>
      <c r="E22" s="304" t="s">
        <v>326</v>
      </c>
      <c r="F22" s="551" t="s">
        <v>327</v>
      </c>
      <c r="G22" s="549">
        <v>47</v>
      </c>
      <c r="H22" s="549">
        <v>31</v>
      </c>
    </row>
    <row r="23" spans="1:8" ht="24">
      <c r="A23" s="298" t="s">
        <v>328</v>
      </c>
      <c r="B23" s="305" t="s">
        <v>329</v>
      </c>
      <c r="C23" s="46"/>
      <c r="D23" s="46">
        <v>2</v>
      </c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>
        <v>10</v>
      </c>
      <c r="D24" s="46"/>
      <c r="E24" s="301" t="s">
        <v>103</v>
      </c>
      <c r="F24" s="553" t="s">
        <v>334</v>
      </c>
      <c r="G24" s="547">
        <f>SUM(G19:G23)</f>
        <v>472</v>
      </c>
      <c r="H24" s="547">
        <f>SUM(H19:H23)</f>
        <v>385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206</v>
      </c>
      <c r="D25" s="46">
        <v>151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857</v>
      </c>
      <c r="D26" s="49">
        <f>SUM(D22:D25)</f>
        <v>697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92610</v>
      </c>
      <c r="D28" s="50">
        <f>D26+D19</f>
        <v>80808</v>
      </c>
      <c r="E28" s="127" t="s">
        <v>339</v>
      </c>
      <c r="F28" s="553" t="s">
        <v>340</v>
      </c>
      <c r="G28" s="547">
        <f>G13+G15+G24</f>
        <v>98034</v>
      </c>
      <c r="H28" s="547">
        <f>H13+H15+H24</f>
        <v>84863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5424</v>
      </c>
      <c r="D30" s="50">
        <f>IF((H28-D28)&gt;0,H28-D28,0)</f>
        <v>4055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92610</v>
      </c>
      <c r="D33" s="49">
        <f>D28-D31+D32</f>
        <v>80808</v>
      </c>
      <c r="E33" s="127" t="s">
        <v>353</v>
      </c>
      <c r="F33" s="553" t="s">
        <v>354</v>
      </c>
      <c r="G33" s="53">
        <f>G32-G31+G28</f>
        <v>98034</v>
      </c>
      <c r="H33" s="53">
        <f>H32-H31+H28</f>
        <v>84863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5424</v>
      </c>
      <c r="D34" s="50">
        <f>IF((H33-D33)&gt;0,H33-D33,0)</f>
        <v>4055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334</v>
      </c>
      <c r="D35" s="49">
        <f>D36+D37+D38</f>
        <v>240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322</v>
      </c>
      <c r="D36" s="46">
        <v>248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>
        <v>12</v>
      </c>
      <c r="D37" s="430">
        <v>-8</v>
      </c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5090</v>
      </c>
      <c r="D39" s="460">
        <f>+IF((H33-D33-D35)&gt;0,H33-D33-D35,0)</f>
        <v>3815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5090</v>
      </c>
      <c r="D41" s="52">
        <f>IF(H39=0,IF(D39-D40&gt;0,D39-D40+H40,0),IF(H39-H40&lt;0,H40-H39+D39,0))</f>
        <v>3815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98034</v>
      </c>
      <c r="D42" s="53">
        <f>D33+D35+D39</f>
        <v>84863</v>
      </c>
      <c r="E42" s="128" t="s">
        <v>380</v>
      </c>
      <c r="F42" s="129" t="s">
        <v>381</v>
      </c>
      <c r="G42" s="53">
        <f>G39+G33</f>
        <v>98034</v>
      </c>
      <c r="H42" s="53">
        <f>H39+H33</f>
        <v>84863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1" t="s">
        <v>862</v>
      </c>
      <c r="B45" s="601"/>
      <c r="C45" s="601"/>
      <c r="D45" s="601"/>
      <c r="E45" s="601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4">
        <v>43465</v>
      </c>
      <c r="C48" s="427" t="s">
        <v>382</v>
      </c>
      <c r="D48" s="596"/>
      <c r="E48" s="596"/>
      <c r="F48" s="596"/>
      <c r="G48" s="596"/>
      <c r="H48" s="596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97"/>
      <c r="E50" s="597"/>
      <c r="F50" s="597"/>
      <c r="G50" s="597"/>
      <c r="H50" s="597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9" right="0.24" top="0.64" bottom="0.984251968503937" header="0.34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10" zoomScaleNormal="110" zoomScalePageLayoutView="0" workbookViewId="0" topLeftCell="A10">
      <pane xSplit="1" topLeftCell="C1" activePane="topRight" state="frozen"/>
      <selection pane="topLeft" activeCell="A1" sqref="A1"/>
      <selection pane="topRight" activeCell="C19" sqref="C1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0" t="s">
        <v>2</v>
      </c>
      <c r="D4" s="540" t="str">
        <f>'справка №1-БАЛАНС'!H3</f>
        <v> 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43465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92916</v>
      </c>
      <c r="D10" s="54">
        <v>74890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-84047</v>
      </c>
      <c r="D11" s="54">
        <v>-75423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-5969</v>
      </c>
      <c r="D13" s="54">
        <v>-5071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2862</v>
      </c>
      <c r="D14" s="54">
        <v>1784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-384</v>
      </c>
      <c r="D15" s="54">
        <v>-146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28</v>
      </c>
      <c r="D18" s="54">
        <v>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-11</v>
      </c>
      <c r="D19" s="54">
        <v>-16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5395</v>
      </c>
      <c r="D20" s="55">
        <f>SUM(D10:D19)</f>
        <v>-3977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f>-10658-17</f>
        <v>-10675</v>
      </c>
      <c r="D22" s="54">
        <v>-2994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370</v>
      </c>
      <c r="D23" s="54">
        <v>431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-10453</v>
      </c>
      <c r="D24" s="54">
        <v>-16155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16523</v>
      </c>
      <c r="D25" s="54">
        <v>8692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56</v>
      </c>
      <c r="D26" s="54">
        <v>257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-1196</v>
      </c>
      <c r="D27" s="54">
        <v>-140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-5375</v>
      </c>
      <c r="D32" s="55">
        <f>SUM(D22:D31)</f>
        <v>-9909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145739</v>
      </c>
      <c r="D36" s="54">
        <v>118476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-146948</v>
      </c>
      <c r="D37" s="54">
        <v>-108081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-691</v>
      </c>
      <c r="D39" s="54">
        <v>-532</v>
      </c>
      <c r="E39" s="130"/>
      <c r="F39" s="130"/>
    </row>
    <row r="40" spans="1:6" ht="12">
      <c r="A40" s="332" t="s">
        <v>444</v>
      </c>
      <c r="B40" s="333" t="s">
        <v>445</v>
      </c>
      <c r="C40" s="54">
        <v>-2421</v>
      </c>
      <c r="D40" s="54">
        <v>-404</v>
      </c>
      <c r="E40" s="130"/>
      <c r="F40" s="130"/>
    </row>
    <row r="41" spans="1:8" ht="12">
      <c r="A41" s="332" t="s">
        <v>446</v>
      </c>
      <c r="B41" s="333" t="s">
        <v>447</v>
      </c>
      <c r="C41" s="54">
        <f>4473-195</f>
        <v>4278</v>
      </c>
      <c r="D41" s="54">
        <v>4443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-43</v>
      </c>
      <c r="D42" s="55">
        <f>SUM(D34:D41)</f>
        <v>13902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-23</v>
      </c>
      <c r="D43" s="55">
        <f>D42+D32+D20</f>
        <v>16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141</v>
      </c>
      <c r="D44" s="132">
        <v>125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118</v>
      </c>
      <c r="D45" s="55">
        <f>D44+D43</f>
        <v>141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118</v>
      </c>
      <c r="D46" s="56">
        <v>141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2"/>
      <c r="D50" s="60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2"/>
      <c r="D52" s="60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7" bottom="0.51" header="0.19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pane xSplit="1" topLeftCell="B1" activePane="topRight" state="frozen"/>
      <selection pane="topLeft" activeCell="A38" sqref="A38"/>
      <selection pane="topRight" activeCell="I32" sqref="I3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3" t="s">
        <v>460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5" t="str">
        <f>'справка №1-БАЛАНС'!E3</f>
        <v>БГ  АГРО  АД</v>
      </c>
      <c r="C3" s="605"/>
      <c r="D3" s="605"/>
      <c r="E3" s="605"/>
      <c r="F3" s="605"/>
      <c r="G3" s="605"/>
      <c r="H3" s="605"/>
      <c r="I3" s="605"/>
      <c r="J3" s="476"/>
      <c r="K3" s="607" t="s">
        <v>2</v>
      </c>
      <c r="L3" s="607"/>
      <c r="M3" s="478" t="str">
        <f>'справка №1-БАЛАНС'!H3</f>
        <v> </v>
      </c>
      <c r="N3" s="2"/>
    </row>
    <row r="4" spans="1:15" s="531" customFormat="1" ht="13.5" customHeight="1">
      <c r="A4" s="467" t="s">
        <v>461</v>
      </c>
      <c r="B4" s="605" t="str">
        <f>'справка №1-БАЛАНС'!E4</f>
        <v>КОНСОЛИДИРАН</v>
      </c>
      <c r="C4" s="605"/>
      <c r="D4" s="605"/>
      <c r="E4" s="605"/>
      <c r="F4" s="605"/>
      <c r="G4" s="605"/>
      <c r="H4" s="605"/>
      <c r="I4" s="605"/>
      <c r="J4" s="136"/>
      <c r="K4" s="608" t="s">
        <v>4</v>
      </c>
      <c r="L4" s="608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609">
        <f>'справка №1-БАЛАНС'!E5</f>
        <v>43465</v>
      </c>
      <c r="C5" s="609"/>
      <c r="D5" s="609"/>
      <c r="E5" s="60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3806</v>
      </c>
      <c r="G11" s="58">
        <f>'справка №1-БАЛАНС'!H23</f>
        <v>0</v>
      </c>
      <c r="H11" s="60"/>
      <c r="I11" s="58">
        <f>'справка №1-БАЛАНС'!H28+'справка №1-БАЛАНС'!H31</f>
        <v>21733</v>
      </c>
      <c r="J11" s="58">
        <f>'справка №1-БАЛАНС'!H29+'справка №1-БАЛАНС'!H32</f>
        <v>0</v>
      </c>
      <c r="K11" s="60"/>
      <c r="L11" s="344">
        <f>SUM(C11:K11)</f>
        <v>65896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-237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-237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>
        <v>-237</v>
      </c>
      <c r="J14" s="60"/>
      <c r="K14" s="60"/>
      <c r="L14" s="344">
        <f t="shared" si="1"/>
        <v>-237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3806</v>
      </c>
      <c r="G15" s="61">
        <f t="shared" si="2"/>
        <v>0</v>
      </c>
      <c r="H15" s="61">
        <f t="shared" si="2"/>
        <v>0</v>
      </c>
      <c r="I15" s="61">
        <f t="shared" si="2"/>
        <v>21496</v>
      </c>
      <c r="J15" s="61">
        <f t="shared" si="2"/>
        <v>0</v>
      </c>
      <c r="K15" s="61">
        <f t="shared" si="2"/>
        <v>0</v>
      </c>
      <c r="L15" s="344">
        <f t="shared" si="1"/>
        <v>65659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5090</v>
      </c>
      <c r="J16" s="345">
        <f>+'справка №1-БАЛАНС'!G32</f>
        <v>0</v>
      </c>
      <c r="K16" s="60"/>
      <c r="L16" s="344">
        <f t="shared" si="1"/>
        <v>5090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75</v>
      </c>
      <c r="G17" s="62">
        <f t="shared" si="3"/>
        <v>0</v>
      </c>
      <c r="H17" s="62">
        <f t="shared" si="3"/>
        <v>0</v>
      </c>
      <c r="I17" s="62">
        <f t="shared" si="3"/>
        <v>-2496</v>
      </c>
      <c r="J17" s="62">
        <f>J18+J19</f>
        <v>0</v>
      </c>
      <c r="K17" s="62">
        <f t="shared" si="3"/>
        <v>0</v>
      </c>
      <c r="L17" s="344">
        <f t="shared" si="1"/>
        <v>-2421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-2421</v>
      </c>
      <c r="J18" s="60"/>
      <c r="K18" s="60"/>
      <c r="L18" s="344">
        <f t="shared" si="1"/>
        <v>-2421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75</v>
      </c>
      <c r="G19" s="60"/>
      <c r="H19" s="60"/>
      <c r="I19" s="60">
        <v>-75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3881</v>
      </c>
      <c r="G29" s="59">
        <f t="shared" si="6"/>
        <v>0</v>
      </c>
      <c r="H29" s="59">
        <f t="shared" si="6"/>
        <v>0</v>
      </c>
      <c r="I29" s="59">
        <f t="shared" si="6"/>
        <v>24090</v>
      </c>
      <c r="J29" s="59">
        <f t="shared" si="6"/>
        <v>0</v>
      </c>
      <c r="K29" s="59">
        <f t="shared" si="6"/>
        <v>0</v>
      </c>
      <c r="L29" s="344">
        <f t="shared" si="1"/>
        <v>68328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3881</v>
      </c>
      <c r="G32" s="59">
        <f t="shared" si="7"/>
        <v>0</v>
      </c>
      <c r="H32" s="59">
        <f t="shared" si="7"/>
        <v>0</v>
      </c>
      <c r="I32" s="59">
        <f t="shared" si="7"/>
        <v>24090</v>
      </c>
      <c r="J32" s="59">
        <f t="shared" si="7"/>
        <v>0</v>
      </c>
      <c r="K32" s="59">
        <f t="shared" si="7"/>
        <v>0</v>
      </c>
      <c r="L32" s="344">
        <f t="shared" si="1"/>
        <v>68328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6" t="s">
        <v>863</v>
      </c>
      <c r="B35" s="606"/>
      <c r="C35" s="606"/>
      <c r="D35" s="606"/>
      <c r="E35" s="606"/>
      <c r="F35" s="606"/>
      <c r="G35" s="606"/>
      <c r="H35" s="606"/>
      <c r="I35" s="606"/>
      <c r="J35" s="60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604" t="s">
        <v>522</v>
      </c>
      <c r="E38" s="604"/>
      <c r="F38" s="604"/>
      <c r="G38" s="604"/>
      <c r="H38" s="604"/>
      <c r="I38" s="604"/>
      <c r="J38" s="15" t="s">
        <v>858</v>
      </c>
      <c r="K38" s="15"/>
      <c r="L38" s="604"/>
      <c r="M38" s="604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 t="s">
        <v>866</v>
      </c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zoomScale="90" zoomScaleNormal="90" zoomScalePageLayoutView="0" workbookViewId="0" topLeftCell="A1">
      <pane xSplit="2" ySplit="8" topLeftCell="G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29" sqref="W29"/>
    </sheetView>
  </sheetViews>
  <sheetFormatPr defaultColWidth="10.75390625" defaultRowHeight="12.75"/>
  <cols>
    <col min="1" max="1" width="4.125" style="22" customWidth="1"/>
    <col min="2" max="2" width="29.125" style="22" customWidth="1"/>
    <col min="3" max="3" width="13.75390625" style="22" customWidth="1"/>
    <col min="4" max="4" width="8.875" style="22" customWidth="1"/>
    <col min="5" max="5" width="10.125" style="22" customWidth="1"/>
    <col min="6" max="6" width="7.375" style="22" customWidth="1"/>
    <col min="7" max="7" width="8.875" style="22" customWidth="1"/>
    <col min="8" max="8" width="6.00390625" style="22" customWidth="1"/>
    <col min="9" max="9" width="4.875" style="22" customWidth="1"/>
    <col min="10" max="10" width="9.125" style="22" customWidth="1"/>
    <col min="11" max="11" width="8.00390625" style="22" customWidth="1"/>
    <col min="12" max="12" width="7.25390625" style="22" customWidth="1"/>
    <col min="13" max="13" width="6.125" style="22" customWidth="1"/>
    <col min="14" max="14" width="8.375" style="22" customWidth="1"/>
    <col min="15" max="15" width="4.625" style="22" customWidth="1"/>
    <col min="16" max="16" width="5.875" style="22" customWidth="1"/>
    <col min="17" max="17" width="8.75390625" style="22" customWidth="1"/>
    <col min="18" max="18" width="8.625" style="22" customWidth="1"/>
    <col min="19" max="19" width="4.875" style="22" customWidth="1"/>
    <col min="20" max="20" width="6.625" style="22" customWidth="1"/>
    <col min="21" max="23" width="10.75390625" style="22" customWidth="1"/>
    <col min="24" max="24" width="11.875" style="101" bestFit="1" customWidth="1"/>
    <col min="25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БГ  АГРО 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3" t="s">
        <v>5</v>
      </c>
      <c r="B3" s="614"/>
      <c r="C3" s="616">
        <f>'справка №1-БАЛАНС'!E5</f>
        <v>43465</v>
      </c>
      <c r="D3" s="616"/>
      <c r="E3" s="616"/>
      <c r="F3" s="485"/>
      <c r="G3" s="485"/>
      <c r="H3" s="485"/>
      <c r="I3" s="485"/>
      <c r="J3" s="485"/>
      <c r="K3" s="485"/>
      <c r="L3" s="485"/>
      <c r="M3" s="621" t="s">
        <v>4</v>
      </c>
      <c r="N3" s="621"/>
      <c r="O3" s="482" t="str">
        <f>'справка №1-БАЛАНС'!H4</f>
        <v> </v>
      </c>
      <c r="P3" s="486"/>
      <c r="Q3" s="486"/>
      <c r="R3" s="527"/>
    </row>
    <row r="4" spans="1:24" ht="24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  <c r="X4" s="22"/>
    </row>
    <row r="5" spans="1:18" s="100" customFormat="1" ht="30.75" customHeight="1">
      <c r="A5" s="622" t="s">
        <v>464</v>
      </c>
      <c r="B5" s="623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9" t="s">
        <v>530</v>
      </c>
      <c r="R5" s="619" t="s">
        <v>531</v>
      </c>
    </row>
    <row r="6" spans="1:18" s="100" customFormat="1" ht="57.75" customHeight="1">
      <c r="A6" s="624"/>
      <c r="B6" s="625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0"/>
      <c r="R6" s="62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4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582"/>
      <c r="L8" s="583"/>
      <c r="M8" s="582"/>
      <c r="N8" s="582"/>
      <c r="O8" s="582"/>
      <c r="P8" s="582"/>
      <c r="Q8" s="582"/>
      <c r="R8" s="587">
        <f>R18+R20</f>
        <v>53725</v>
      </c>
      <c r="S8" s="578"/>
      <c r="T8" s="578"/>
      <c r="U8" s="578"/>
      <c r="V8" s="586"/>
      <c r="X8" s="22"/>
    </row>
    <row r="9" spans="1:24" ht="12">
      <c r="A9" s="366" t="s">
        <v>544</v>
      </c>
      <c r="B9" s="366" t="s">
        <v>545</v>
      </c>
      <c r="C9" s="367" t="s">
        <v>546</v>
      </c>
      <c r="D9" s="584">
        <v>13902</v>
      </c>
      <c r="E9" s="189">
        <v>5956</v>
      </c>
      <c r="F9" s="584"/>
      <c r="G9" s="74">
        <f>D9+E9-F9</f>
        <v>19858</v>
      </c>
      <c r="H9" s="65"/>
      <c r="I9" s="65"/>
      <c r="J9" s="74">
        <f>G9</f>
        <v>19858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6">N9+O9-P9</f>
        <v>0</v>
      </c>
      <c r="R9" s="587">
        <f aca="true" t="shared" si="1" ref="R9:R16">J9-Q9</f>
        <v>19858</v>
      </c>
      <c r="X9" s="22"/>
    </row>
    <row r="10" spans="1:24" ht="17.25" customHeight="1">
      <c r="A10" s="366" t="s">
        <v>547</v>
      </c>
      <c r="B10" s="366" t="s">
        <v>548</v>
      </c>
      <c r="C10" s="367" t="s">
        <v>549</v>
      </c>
      <c r="D10" s="584">
        <v>11325</v>
      </c>
      <c r="E10" s="189">
        <v>907</v>
      </c>
      <c r="F10" s="584"/>
      <c r="G10" s="74">
        <f aca="true" t="shared" si="2" ref="G10:G40">D10+E10-F10</f>
        <v>12232</v>
      </c>
      <c r="H10" s="65"/>
      <c r="I10" s="65"/>
      <c r="J10" s="74">
        <f aca="true" t="shared" si="3" ref="J10:J16">G10</f>
        <v>12232</v>
      </c>
      <c r="K10" s="65">
        <v>2498</v>
      </c>
      <c r="L10" s="65">
        <v>273</v>
      </c>
      <c r="M10" s="65"/>
      <c r="N10" s="74">
        <f aca="true" t="shared" si="4" ref="N10:N40">K10+L10-M10</f>
        <v>2771</v>
      </c>
      <c r="O10" s="65"/>
      <c r="P10" s="65"/>
      <c r="Q10" s="74">
        <f t="shared" si="0"/>
        <v>2771</v>
      </c>
      <c r="R10" s="587">
        <f t="shared" si="1"/>
        <v>9461</v>
      </c>
      <c r="X10" s="22"/>
    </row>
    <row r="11" spans="1:22" s="578" customFormat="1" ht="20.25" customHeight="1">
      <c r="A11" s="577" t="s">
        <v>550</v>
      </c>
      <c r="B11" s="577" t="s">
        <v>551</v>
      </c>
      <c r="C11" s="581" t="s">
        <v>552</v>
      </c>
      <c r="D11" s="584">
        <v>41184</v>
      </c>
      <c r="E11" s="584">
        <v>4379</v>
      </c>
      <c r="F11" s="584">
        <v>1005</v>
      </c>
      <c r="G11" s="74">
        <f>D11+E11-F11</f>
        <v>44558</v>
      </c>
      <c r="H11" s="65"/>
      <c r="I11" s="65"/>
      <c r="J11" s="74">
        <f t="shared" si="3"/>
        <v>44558</v>
      </c>
      <c r="K11" s="65">
        <v>11640</v>
      </c>
      <c r="L11" s="65">
        <v>1821</v>
      </c>
      <c r="M11" s="65">
        <v>645</v>
      </c>
      <c r="N11" s="74">
        <f t="shared" si="4"/>
        <v>12816</v>
      </c>
      <c r="O11" s="65"/>
      <c r="P11" s="65"/>
      <c r="Q11" s="74">
        <f t="shared" si="0"/>
        <v>12816</v>
      </c>
      <c r="R11" s="587">
        <f t="shared" si="1"/>
        <v>31742</v>
      </c>
      <c r="V11" s="22"/>
    </row>
    <row r="12" spans="1:24" ht="12">
      <c r="A12" s="366" t="s">
        <v>553</v>
      </c>
      <c r="B12" s="366" t="s">
        <v>554</v>
      </c>
      <c r="C12" s="367" t="s">
        <v>555</v>
      </c>
      <c r="D12" s="584">
        <v>0</v>
      </c>
      <c r="E12" s="189"/>
      <c r="F12" s="584"/>
      <c r="G12" s="74">
        <f>D12+E12-F12</f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587">
        <f t="shared" si="1"/>
        <v>0</v>
      </c>
      <c r="X12" s="22"/>
    </row>
    <row r="13" spans="1:24" ht="12">
      <c r="A13" s="366" t="s">
        <v>556</v>
      </c>
      <c r="B13" s="366" t="s">
        <v>557</v>
      </c>
      <c r="C13" s="367" t="s">
        <v>558</v>
      </c>
      <c r="D13" s="584">
        <v>5558</v>
      </c>
      <c r="E13" s="189">
        <v>1569</v>
      </c>
      <c r="F13" s="584">
        <v>700</v>
      </c>
      <c r="G13" s="74">
        <f t="shared" si="2"/>
        <v>6427</v>
      </c>
      <c r="H13" s="65"/>
      <c r="I13" s="65"/>
      <c r="J13" s="74">
        <f t="shared" si="3"/>
        <v>6427</v>
      </c>
      <c r="K13" s="65">
        <v>4242</v>
      </c>
      <c r="L13" s="65">
        <v>500</v>
      </c>
      <c r="M13" s="65">
        <f>691</f>
        <v>691</v>
      </c>
      <c r="N13" s="74">
        <f t="shared" si="4"/>
        <v>4051</v>
      </c>
      <c r="O13" s="65"/>
      <c r="P13" s="65"/>
      <c r="Q13" s="74">
        <f t="shared" si="0"/>
        <v>4051</v>
      </c>
      <c r="R13" s="587">
        <f t="shared" si="1"/>
        <v>2376</v>
      </c>
      <c r="X13" s="22"/>
    </row>
    <row r="14" spans="1:24" ht="12">
      <c r="A14" s="366" t="s">
        <v>559</v>
      </c>
      <c r="B14" s="366" t="s">
        <v>560</v>
      </c>
      <c r="C14" s="367" t="s">
        <v>561</v>
      </c>
      <c r="D14" s="584">
        <v>667</v>
      </c>
      <c r="E14" s="189">
        <v>89</v>
      </c>
      <c r="F14" s="584">
        <v>32</v>
      </c>
      <c r="G14" s="74">
        <f>D14+E14-F14</f>
        <v>724</v>
      </c>
      <c r="H14" s="65"/>
      <c r="I14" s="65"/>
      <c r="J14" s="74">
        <f t="shared" si="3"/>
        <v>724</v>
      </c>
      <c r="K14" s="65">
        <v>502</v>
      </c>
      <c r="L14" s="65">
        <v>58</v>
      </c>
      <c r="M14" s="65">
        <v>32</v>
      </c>
      <c r="N14" s="74">
        <f t="shared" si="4"/>
        <v>528</v>
      </c>
      <c r="O14" s="65"/>
      <c r="P14" s="65"/>
      <c r="Q14" s="74">
        <f t="shared" si="0"/>
        <v>528</v>
      </c>
      <c r="R14" s="587">
        <f t="shared" si="1"/>
        <v>196</v>
      </c>
      <c r="X14" s="22"/>
    </row>
    <row r="15" spans="1:24" ht="12">
      <c r="A15" s="366"/>
      <c r="B15" s="366"/>
      <c r="C15" s="367"/>
      <c r="D15" s="584"/>
      <c r="E15" s="189"/>
      <c r="F15" s="584"/>
      <c r="G15" s="74"/>
      <c r="H15" s="65"/>
      <c r="I15" s="65"/>
      <c r="J15" s="74"/>
      <c r="K15" s="65"/>
      <c r="L15" s="65"/>
      <c r="M15" s="65"/>
      <c r="N15" s="74"/>
      <c r="O15" s="65"/>
      <c r="P15" s="65"/>
      <c r="Q15" s="74"/>
      <c r="R15" s="587"/>
      <c r="X15" s="22"/>
    </row>
    <row r="16" spans="1:22" s="529" customFormat="1" ht="25.5" customHeight="1">
      <c r="A16" s="455" t="s">
        <v>859</v>
      </c>
      <c r="B16" s="374" t="s">
        <v>860</v>
      </c>
      <c r="C16" s="456" t="s">
        <v>861</v>
      </c>
      <c r="D16" s="585">
        <v>237</v>
      </c>
      <c r="E16" s="457">
        <v>1678</v>
      </c>
      <c r="F16" s="585">
        <v>449</v>
      </c>
      <c r="G16" s="74">
        <f t="shared" si="2"/>
        <v>1466</v>
      </c>
      <c r="H16" s="458"/>
      <c r="I16" s="458"/>
      <c r="J16" s="74">
        <f t="shared" si="3"/>
        <v>1466</v>
      </c>
      <c r="K16" s="458">
        <v>0</v>
      </c>
      <c r="L16" s="458"/>
      <c r="M16" s="458"/>
      <c r="N16" s="74">
        <f t="shared" si="4"/>
        <v>0</v>
      </c>
      <c r="O16" s="458"/>
      <c r="P16" s="458"/>
      <c r="Q16" s="74">
        <f t="shared" si="0"/>
        <v>0</v>
      </c>
      <c r="R16" s="587">
        <f t="shared" si="1"/>
        <v>1466</v>
      </c>
      <c r="V16" s="22"/>
    </row>
    <row r="17" spans="1:24" ht="12">
      <c r="A17" s="366" t="s">
        <v>562</v>
      </c>
      <c r="B17" s="193" t="s">
        <v>563</v>
      </c>
      <c r="C17" s="367" t="s">
        <v>564</v>
      </c>
      <c r="D17" s="189"/>
      <c r="E17" s="189"/>
      <c r="F17" s="584"/>
      <c r="G17" s="74">
        <f>D17+E17-F17</f>
        <v>0</v>
      </c>
      <c r="H17" s="65"/>
      <c r="I17" s="65"/>
      <c r="J17" s="74">
        <f aca="true" t="shared" si="5" ref="J17:J40">G17+H17-I17</f>
        <v>0</v>
      </c>
      <c r="K17" s="65"/>
      <c r="L17" s="65"/>
      <c r="M17" s="65"/>
      <c r="N17" s="74">
        <f t="shared" si="4"/>
        <v>0</v>
      </c>
      <c r="O17" s="65"/>
      <c r="P17" s="65"/>
      <c r="Q17" s="74">
        <f aca="true" t="shared" si="6" ref="Q17:Q26">N17+O17-P17</f>
        <v>0</v>
      </c>
      <c r="R17" s="587">
        <f aca="true" t="shared" si="7" ref="R17:R26">J17-Q17</f>
        <v>0</v>
      </c>
      <c r="X17" s="22"/>
    </row>
    <row r="18" spans="1:24" ht="12">
      <c r="A18" s="366"/>
      <c r="B18" s="368" t="s">
        <v>565</v>
      </c>
      <c r="C18" s="369" t="s">
        <v>566</v>
      </c>
      <c r="D18" s="194">
        <f>SUM(D9:D17)</f>
        <v>72873</v>
      </c>
      <c r="E18" s="194"/>
      <c r="F18" s="194"/>
      <c r="G18" s="74">
        <f t="shared" si="2"/>
        <v>72873</v>
      </c>
      <c r="H18" s="75">
        <f>SUM(H9:H17)</f>
        <v>0</v>
      </c>
      <c r="I18" s="75">
        <f>SUM(I9:I17)</f>
        <v>0</v>
      </c>
      <c r="J18" s="74">
        <f t="shared" si="5"/>
        <v>72873</v>
      </c>
      <c r="K18" s="75">
        <f>SUM(K9:K17)</f>
        <v>18882</v>
      </c>
      <c r="L18" s="75">
        <f>SUM(L9:L17)</f>
        <v>2652</v>
      </c>
      <c r="M18" s="75">
        <f>SUM(M9:M17)</f>
        <v>1368</v>
      </c>
      <c r="N18" s="74">
        <f t="shared" si="4"/>
        <v>20166</v>
      </c>
      <c r="O18" s="75">
        <f>SUM(O9:O17)</f>
        <v>0</v>
      </c>
      <c r="P18" s="75">
        <f>SUM(P9:P17)</f>
        <v>0</v>
      </c>
      <c r="Q18" s="74">
        <f t="shared" si="6"/>
        <v>20166</v>
      </c>
      <c r="R18" s="587">
        <f t="shared" si="7"/>
        <v>52707</v>
      </c>
      <c r="T18" s="100"/>
      <c r="X18" s="22"/>
    </row>
    <row r="19" spans="1:24" ht="12">
      <c r="A19" s="370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5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6"/>
        <v>0</v>
      </c>
      <c r="R19" s="587">
        <f t="shared" si="7"/>
        <v>0</v>
      </c>
      <c r="X19" s="22"/>
    </row>
    <row r="20" spans="1:24" ht="12" customHeight="1">
      <c r="A20" s="372" t="s">
        <v>570</v>
      </c>
      <c r="B20" s="371" t="s">
        <v>571</v>
      </c>
      <c r="C20" s="369" t="s">
        <v>572</v>
      </c>
      <c r="D20" s="187">
        <v>285</v>
      </c>
      <c r="E20" s="187">
        <v>886</v>
      </c>
      <c r="F20" s="187">
        <v>42</v>
      </c>
      <c r="G20" s="74">
        <f t="shared" si="2"/>
        <v>1129</v>
      </c>
      <c r="H20" s="63"/>
      <c r="I20" s="63"/>
      <c r="J20" s="74">
        <f t="shared" si="5"/>
        <v>1129</v>
      </c>
      <c r="K20" s="63">
        <v>8</v>
      </c>
      <c r="L20" s="63">
        <v>110</v>
      </c>
      <c r="M20" s="63">
        <v>7</v>
      </c>
      <c r="N20" s="74">
        <f t="shared" si="4"/>
        <v>111</v>
      </c>
      <c r="O20" s="63"/>
      <c r="P20" s="63"/>
      <c r="Q20" s="74">
        <f t="shared" si="6"/>
        <v>111</v>
      </c>
      <c r="R20" s="587">
        <f t="shared" si="7"/>
        <v>1018</v>
      </c>
      <c r="X20" s="22"/>
    </row>
    <row r="21" spans="1:24" ht="12" customHeight="1">
      <c r="A21" s="373" t="s">
        <v>573</v>
      </c>
      <c r="B21" s="363" t="s">
        <v>574</v>
      </c>
      <c r="C21" s="367"/>
      <c r="D21" s="188"/>
      <c r="E21" s="188"/>
      <c r="F21" s="188"/>
      <c r="G21" s="74">
        <f t="shared" si="2"/>
        <v>0</v>
      </c>
      <c r="H21" s="64"/>
      <c r="I21" s="64"/>
      <c r="J21" s="74">
        <f t="shared" si="5"/>
        <v>0</v>
      </c>
      <c r="K21" s="64"/>
      <c r="L21" s="64"/>
      <c r="M21" s="64"/>
      <c r="N21" s="74">
        <f t="shared" si="4"/>
        <v>0</v>
      </c>
      <c r="O21" s="64"/>
      <c r="P21" s="64"/>
      <c r="Q21" s="74">
        <f t="shared" si="6"/>
        <v>0</v>
      </c>
      <c r="R21" s="587">
        <f t="shared" si="7"/>
        <v>0</v>
      </c>
      <c r="X21" s="22"/>
    </row>
    <row r="22" spans="1:24" ht="19.5" customHeight="1">
      <c r="A22" s="366" t="s">
        <v>544</v>
      </c>
      <c r="B22" s="366" t="s">
        <v>867</v>
      </c>
      <c r="C22" s="367" t="s">
        <v>575</v>
      </c>
      <c r="D22" s="189">
        <v>234</v>
      </c>
      <c r="E22" s="189">
        <v>21</v>
      </c>
      <c r="F22" s="189"/>
      <c r="G22" s="74">
        <f t="shared" si="2"/>
        <v>255</v>
      </c>
      <c r="H22" s="65"/>
      <c r="I22" s="65"/>
      <c r="J22" s="74">
        <f t="shared" si="5"/>
        <v>255</v>
      </c>
      <c r="K22" s="65">
        <v>165</v>
      </c>
      <c r="L22" s="65">
        <v>33</v>
      </c>
      <c r="M22" s="65"/>
      <c r="N22" s="74">
        <f t="shared" si="4"/>
        <v>198</v>
      </c>
      <c r="O22" s="65"/>
      <c r="P22" s="65"/>
      <c r="Q22" s="74">
        <f t="shared" si="6"/>
        <v>198</v>
      </c>
      <c r="R22" s="587">
        <f t="shared" si="7"/>
        <v>57</v>
      </c>
      <c r="X22" s="22"/>
    </row>
    <row r="23" spans="1:24" ht="18.75" customHeight="1">
      <c r="A23" s="366" t="s">
        <v>547</v>
      </c>
      <c r="B23" s="366" t="s">
        <v>576</v>
      </c>
      <c r="C23" s="367" t="s">
        <v>577</v>
      </c>
      <c r="D23" s="189">
        <v>128</v>
      </c>
      <c r="E23" s="189">
        <v>29</v>
      </c>
      <c r="F23" s="189"/>
      <c r="G23" s="74">
        <f t="shared" si="2"/>
        <v>157</v>
      </c>
      <c r="H23" s="65"/>
      <c r="I23" s="65"/>
      <c r="J23" s="74">
        <f t="shared" si="5"/>
        <v>157</v>
      </c>
      <c r="K23" s="65">
        <v>34</v>
      </c>
      <c r="L23" s="65">
        <v>13</v>
      </c>
      <c r="M23" s="65"/>
      <c r="N23" s="74">
        <f t="shared" si="4"/>
        <v>47</v>
      </c>
      <c r="O23" s="65"/>
      <c r="P23" s="65"/>
      <c r="Q23" s="74">
        <f t="shared" si="6"/>
        <v>47</v>
      </c>
      <c r="R23" s="587">
        <f t="shared" si="7"/>
        <v>110</v>
      </c>
      <c r="X23" s="22"/>
    </row>
    <row r="24" spans="1:24" ht="15" customHeight="1">
      <c r="A24" s="374" t="s">
        <v>550</v>
      </c>
      <c r="B24" s="374" t="s">
        <v>578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5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6"/>
        <v>0</v>
      </c>
      <c r="R24" s="587">
        <f t="shared" si="7"/>
        <v>0</v>
      </c>
      <c r="X24" s="22"/>
    </row>
    <row r="25" spans="1:24" ht="15.75" customHeight="1">
      <c r="A25" s="366" t="s">
        <v>553</v>
      </c>
      <c r="B25" s="375" t="s">
        <v>563</v>
      </c>
      <c r="C25" s="367" t="s">
        <v>580</v>
      </c>
      <c r="D25" s="189">
        <v>4</v>
      </c>
      <c r="E25" s="189">
        <v>8</v>
      </c>
      <c r="F25" s="189"/>
      <c r="G25" s="74">
        <f t="shared" si="2"/>
        <v>12</v>
      </c>
      <c r="H25" s="65"/>
      <c r="I25" s="65"/>
      <c r="J25" s="74">
        <f t="shared" si="5"/>
        <v>12</v>
      </c>
      <c r="K25" s="65">
        <v>3</v>
      </c>
      <c r="L25" s="65">
        <v>2</v>
      </c>
      <c r="M25" s="65"/>
      <c r="N25" s="74">
        <f t="shared" si="4"/>
        <v>5</v>
      </c>
      <c r="O25" s="65"/>
      <c r="P25" s="65"/>
      <c r="Q25" s="74">
        <f t="shared" si="6"/>
        <v>5</v>
      </c>
      <c r="R25" s="587">
        <f t="shared" si="7"/>
        <v>7</v>
      </c>
      <c r="X25" s="22"/>
    </row>
    <row r="26" spans="1:24" ht="15" customHeight="1">
      <c r="A26" s="366"/>
      <c r="B26" s="368" t="s">
        <v>838</v>
      </c>
      <c r="C26" s="376" t="s">
        <v>582</v>
      </c>
      <c r="D26" s="190">
        <f>SUM(D22:D25)</f>
        <v>366</v>
      </c>
      <c r="E26" s="190">
        <f aca="true" t="shared" si="8" ref="E26:P26">SUM(E22:E25)</f>
        <v>58</v>
      </c>
      <c r="F26" s="190">
        <f t="shared" si="8"/>
        <v>0</v>
      </c>
      <c r="G26" s="67">
        <f t="shared" si="2"/>
        <v>424</v>
      </c>
      <c r="H26" s="66">
        <f t="shared" si="8"/>
        <v>0</v>
      </c>
      <c r="I26" s="66">
        <f t="shared" si="8"/>
        <v>0</v>
      </c>
      <c r="J26" s="67">
        <f t="shared" si="5"/>
        <v>424</v>
      </c>
      <c r="K26" s="66">
        <f t="shared" si="8"/>
        <v>202</v>
      </c>
      <c r="L26" s="66">
        <f t="shared" si="8"/>
        <v>48</v>
      </c>
      <c r="M26" s="66">
        <f t="shared" si="8"/>
        <v>0</v>
      </c>
      <c r="N26" s="67">
        <f t="shared" si="4"/>
        <v>250</v>
      </c>
      <c r="O26" s="66">
        <f t="shared" si="8"/>
        <v>0</v>
      </c>
      <c r="P26" s="66">
        <f t="shared" si="8"/>
        <v>0</v>
      </c>
      <c r="Q26" s="67">
        <f t="shared" si="6"/>
        <v>250</v>
      </c>
      <c r="R26" s="588">
        <f t="shared" si="7"/>
        <v>174</v>
      </c>
      <c r="X26" s="22"/>
    </row>
    <row r="27" spans="1:24" ht="24" customHeight="1">
      <c r="A27" s="373" t="s">
        <v>583</v>
      </c>
      <c r="B27" s="377" t="s">
        <v>584</v>
      </c>
      <c r="C27" s="378"/>
      <c r="D27" s="191"/>
      <c r="E27" s="191"/>
      <c r="F27" s="191"/>
      <c r="G27" s="69"/>
      <c r="H27" s="68"/>
      <c r="I27" s="68"/>
      <c r="J27" s="69"/>
      <c r="K27" s="68"/>
      <c r="L27" s="576"/>
      <c r="M27" s="68"/>
      <c r="N27" s="69"/>
      <c r="O27" s="68"/>
      <c r="P27" s="68"/>
      <c r="Q27" s="69"/>
      <c r="R27" s="382"/>
      <c r="X27" s="579"/>
    </row>
    <row r="28" spans="1:24" ht="15.75">
      <c r="A28" s="366" t="s">
        <v>544</v>
      </c>
      <c r="B28" s="379" t="s">
        <v>853</v>
      </c>
      <c r="C28" s="380" t="s">
        <v>585</v>
      </c>
      <c r="D28" s="192">
        <f>SUM(D29:D32)</f>
        <v>0</v>
      </c>
      <c r="E28" s="192">
        <f aca="true" t="shared" si="9" ref="E28:P28">SUM(E29:E32)</f>
        <v>0</v>
      </c>
      <c r="F28" s="192">
        <f t="shared" si="9"/>
        <v>0</v>
      </c>
      <c r="G28" s="71">
        <f t="shared" si="2"/>
        <v>0</v>
      </c>
      <c r="H28" s="70">
        <f t="shared" si="9"/>
        <v>0</v>
      </c>
      <c r="I28" s="70">
        <f t="shared" si="9"/>
        <v>0</v>
      </c>
      <c r="J28" s="71">
        <f t="shared" si="5"/>
        <v>0</v>
      </c>
      <c r="K28" s="70">
        <f t="shared" si="9"/>
        <v>0</v>
      </c>
      <c r="L28" s="70">
        <f t="shared" si="9"/>
        <v>0</v>
      </c>
      <c r="M28" s="70">
        <f t="shared" si="9"/>
        <v>0</v>
      </c>
      <c r="N28" s="71">
        <f t="shared" si="4"/>
        <v>0</v>
      </c>
      <c r="O28" s="70">
        <f t="shared" si="9"/>
        <v>0</v>
      </c>
      <c r="P28" s="70">
        <f t="shared" si="9"/>
        <v>0</v>
      </c>
      <c r="Q28" s="71">
        <f>N28+O28-P28</f>
        <v>0</v>
      </c>
      <c r="R28" s="71">
        <f>J28-Q28</f>
        <v>0</v>
      </c>
      <c r="X28" s="579"/>
    </row>
    <row r="29" spans="1:18" ht="21" customHeight="1">
      <c r="A29" s="366"/>
      <c r="B29" s="366" t="s">
        <v>106</v>
      </c>
      <c r="C29" s="367" t="s">
        <v>586</v>
      </c>
      <c r="D29" s="189"/>
      <c r="E29" s="189"/>
      <c r="F29" s="189"/>
      <c r="G29" s="74">
        <f t="shared" si="2"/>
        <v>0</v>
      </c>
      <c r="H29" s="65"/>
      <c r="I29" s="65"/>
      <c r="J29" s="74">
        <f t="shared" si="5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aca="true" t="shared" si="10" ref="Q29:Q40">N29+O29-P29</f>
        <v>0</v>
      </c>
      <c r="R29" s="74">
        <f aca="true" t="shared" si="11" ref="R29:R40">J29-Q29</f>
        <v>0</v>
      </c>
    </row>
    <row r="30" spans="1:18" ht="12">
      <c r="A30" s="366"/>
      <c r="B30" s="366" t="s">
        <v>108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5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0</v>
      </c>
    </row>
    <row r="31" spans="1:18" ht="12">
      <c r="A31" s="366"/>
      <c r="B31" s="366" t="s">
        <v>112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5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</row>
    <row r="32" spans="1:18" ht="12">
      <c r="A32" s="366"/>
      <c r="B32" s="366" t="s">
        <v>114</v>
      </c>
      <c r="C32" s="367" t="s">
        <v>589</v>
      </c>
      <c r="D32" s="189"/>
      <c r="E32" s="189"/>
      <c r="F32" s="189"/>
      <c r="G32" s="74">
        <f t="shared" si="2"/>
        <v>0</v>
      </c>
      <c r="H32" s="72"/>
      <c r="I32" s="72"/>
      <c r="J32" s="74">
        <f t="shared" si="5"/>
        <v>0</v>
      </c>
      <c r="K32" s="72"/>
      <c r="L32" s="72"/>
      <c r="M32" s="72"/>
      <c r="N32" s="74">
        <f t="shared" si="4"/>
        <v>0</v>
      </c>
      <c r="O32" s="72"/>
      <c r="P32" s="72"/>
      <c r="Q32" s="74">
        <f t="shared" si="10"/>
        <v>0</v>
      </c>
      <c r="R32" s="74">
        <f t="shared" si="11"/>
        <v>0</v>
      </c>
    </row>
    <row r="33" spans="1:18" ht="12">
      <c r="A33" s="366" t="s">
        <v>547</v>
      </c>
      <c r="B33" s="379" t="s">
        <v>590</v>
      </c>
      <c r="C33" s="367" t="s">
        <v>591</v>
      </c>
      <c r="D33" s="193">
        <f>SUM(D34:D37)</f>
        <v>0</v>
      </c>
      <c r="E33" s="193">
        <f aca="true" t="shared" si="12" ref="E33:P33">SUM(E34:E37)</f>
        <v>0</v>
      </c>
      <c r="F33" s="193">
        <f t="shared" si="12"/>
        <v>0</v>
      </c>
      <c r="G33" s="74">
        <f t="shared" si="2"/>
        <v>0</v>
      </c>
      <c r="H33" s="73">
        <f t="shared" si="12"/>
        <v>0</v>
      </c>
      <c r="I33" s="73">
        <f t="shared" si="12"/>
        <v>0</v>
      </c>
      <c r="J33" s="74">
        <f t="shared" si="5"/>
        <v>0</v>
      </c>
      <c r="K33" s="73">
        <f t="shared" si="12"/>
        <v>0</v>
      </c>
      <c r="L33" s="73">
        <f t="shared" si="12"/>
        <v>0</v>
      </c>
      <c r="M33" s="73">
        <f t="shared" si="12"/>
        <v>0</v>
      </c>
      <c r="N33" s="74">
        <f t="shared" si="4"/>
        <v>0</v>
      </c>
      <c r="O33" s="73">
        <f t="shared" si="12"/>
        <v>0</v>
      </c>
      <c r="P33" s="73">
        <f t="shared" si="12"/>
        <v>0</v>
      </c>
      <c r="Q33" s="74">
        <f t="shared" si="10"/>
        <v>0</v>
      </c>
      <c r="R33" s="74">
        <f t="shared" si="11"/>
        <v>0</v>
      </c>
    </row>
    <row r="34" spans="1:18" ht="12">
      <c r="A34" s="366"/>
      <c r="B34" s="381" t="s">
        <v>120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5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</row>
    <row r="35" spans="1:1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5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</row>
    <row r="36" spans="1:18" ht="12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5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</row>
    <row r="37" spans="1:18" ht="24">
      <c r="A37" s="366"/>
      <c r="B37" s="381" t="s">
        <v>597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5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</row>
    <row r="38" spans="1:18" ht="12">
      <c r="A38" s="366" t="s">
        <v>550</v>
      </c>
      <c r="B38" s="381" t="s">
        <v>563</v>
      </c>
      <c r="C38" s="367" t="s">
        <v>599</v>
      </c>
      <c r="D38" s="189"/>
      <c r="E38" s="189"/>
      <c r="F38" s="189"/>
      <c r="G38" s="74">
        <f t="shared" si="2"/>
        <v>0</v>
      </c>
      <c r="H38" s="72"/>
      <c r="I38" s="72"/>
      <c r="J38" s="74">
        <f t="shared" si="5"/>
        <v>0</v>
      </c>
      <c r="K38" s="72"/>
      <c r="L38" s="72"/>
      <c r="M38" s="72"/>
      <c r="N38" s="74">
        <f t="shared" si="4"/>
        <v>0</v>
      </c>
      <c r="O38" s="72"/>
      <c r="P38" s="72"/>
      <c r="Q38" s="74">
        <f t="shared" si="10"/>
        <v>0</v>
      </c>
      <c r="R38" s="74">
        <f t="shared" si="11"/>
        <v>0</v>
      </c>
    </row>
    <row r="39" spans="1:18" ht="12">
      <c r="A39" s="366"/>
      <c r="B39" s="368" t="s">
        <v>854</v>
      </c>
      <c r="C39" s="369" t="s">
        <v>601</v>
      </c>
      <c r="D39" s="194">
        <f>D28+D33+D38</f>
        <v>0</v>
      </c>
      <c r="E39" s="194">
        <f aca="true" t="shared" si="13" ref="E39:P39">E28+E33+E38</f>
        <v>0</v>
      </c>
      <c r="F39" s="194">
        <f t="shared" si="13"/>
        <v>0</v>
      </c>
      <c r="G39" s="74">
        <f t="shared" si="2"/>
        <v>0</v>
      </c>
      <c r="H39" s="75">
        <f t="shared" si="13"/>
        <v>0</v>
      </c>
      <c r="I39" s="75">
        <f t="shared" si="13"/>
        <v>0</v>
      </c>
      <c r="J39" s="74">
        <f t="shared" si="5"/>
        <v>0</v>
      </c>
      <c r="K39" s="75">
        <f t="shared" si="13"/>
        <v>0</v>
      </c>
      <c r="L39" s="75">
        <f t="shared" si="13"/>
        <v>0</v>
      </c>
      <c r="M39" s="75">
        <f t="shared" si="13"/>
        <v>0</v>
      </c>
      <c r="N39" s="74">
        <f t="shared" si="4"/>
        <v>0</v>
      </c>
      <c r="O39" s="75">
        <f t="shared" si="13"/>
        <v>0</v>
      </c>
      <c r="P39" s="75">
        <f t="shared" si="13"/>
        <v>0</v>
      </c>
      <c r="Q39" s="74">
        <f t="shared" si="10"/>
        <v>0</v>
      </c>
      <c r="R39" s="74">
        <f t="shared" si="11"/>
        <v>0</v>
      </c>
    </row>
    <row r="40" spans="1:24" s="572" customFormat="1" ht="12">
      <c r="A40" s="370" t="s">
        <v>602</v>
      </c>
      <c r="B40" s="370" t="s">
        <v>603</v>
      </c>
      <c r="C40" s="369" t="s">
        <v>604</v>
      </c>
      <c r="D40" s="571"/>
      <c r="E40" s="571"/>
      <c r="F40" s="571"/>
      <c r="G40" s="74">
        <f t="shared" si="2"/>
        <v>0</v>
      </c>
      <c r="H40" s="571"/>
      <c r="I40" s="571"/>
      <c r="J40" s="74">
        <f t="shared" si="5"/>
        <v>0</v>
      </c>
      <c r="K40" s="571"/>
      <c r="L40" s="571"/>
      <c r="M40" s="571"/>
      <c r="N40" s="74">
        <f t="shared" si="4"/>
        <v>0</v>
      </c>
      <c r="O40" s="571"/>
      <c r="P40" s="571"/>
      <c r="Q40" s="74">
        <f t="shared" si="10"/>
        <v>0</v>
      </c>
      <c r="R40" s="74">
        <f t="shared" si="11"/>
        <v>0</v>
      </c>
      <c r="X40" s="580"/>
    </row>
    <row r="41" spans="1:18" ht="12">
      <c r="A41" s="366"/>
      <c r="B41" s="370" t="s">
        <v>605</v>
      </c>
      <c r="C41" s="359" t="s">
        <v>606</v>
      </c>
      <c r="D41" s="438">
        <f>D18+D19+D20+D26+D39+D40</f>
        <v>73524</v>
      </c>
      <c r="E41" s="438">
        <f>E18+E19+E20+E26+E39+E40</f>
        <v>944</v>
      </c>
      <c r="F41" s="438">
        <f aca="true" t="shared" si="14" ref="F41:R41">F18+F19+F20+F26+F39+F40</f>
        <v>42</v>
      </c>
      <c r="G41" s="438">
        <f t="shared" si="14"/>
        <v>74426</v>
      </c>
      <c r="H41" s="438">
        <f t="shared" si="14"/>
        <v>0</v>
      </c>
      <c r="I41" s="438">
        <f t="shared" si="14"/>
        <v>0</v>
      </c>
      <c r="J41" s="438">
        <f t="shared" si="14"/>
        <v>74426</v>
      </c>
      <c r="K41" s="438">
        <f t="shared" si="14"/>
        <v>19092</v>
      </c>
      <c r="L41" s="438">
        <f t="shared" si="14"/>
        <v>2810</v>
      </c>
      <c r="M41" s="438">
        <f t="shared" si="14"/>
        <v>1375</v>
      </c>
      <c r="N41" s="438">
        <f t="shared" si="14"/>
        <v>20527</v>
      </c>
      <c r="O41" s="438">
        <f t="shared" si="14"/>
        <v>0</v>
      </c>
      <c r="P41" s="438">
        <f t="shared" si="14"/>
        <v>0</v>
      </c>
      <c r="Q41" s="438">
        <f t="shared" si="14"/>
        <v>20527</v>
      </c>
      <c r="R41" s="438">
        <f t="shared" si="14"/>
        <v>53899</v>
      </c>
    </row>
    <row r="42" spans="1:18" ht="12">
      <c r="A42" s="351"/>
      <c r="B42" s="351"/>
      <c r="C42" s="351"/>
      <c r="D42" s="383"/>
      <c r="E42" s="383"/>
      <c r="F42" s="383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</row>
    <row r="43" spans="1:18" ht="12">
      <c r="A43" s="351"/>
      <c r="B43" s="351" t="s">
        <v>607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1"/>
      <c r="C44" s="351"/>
      <c r="D44" s="353"/>
      <c r="E44" s="353"/>
      <c r="F44" s="353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</row>
    <row r="45" spans="1:18" ht="12">
      <c r="A45" s="351"/>
      <c r="B45" s="575">
        <v>31122018</v>
      </c>
      <c r="C45" s="354"/>
      <c r="D45" s="355"/>
      <c r="E45" s="355"/>
      <c r="F45" s="355"/>
      <c r="G45" s="351"/>
      <c r="H45" s="356" t="s">
        <v>608</v>
      </c>
      <c r="I45" s="356"/>
      <c r="J45" s="356"/>
      <c r="K45" s="612"/>
      <c r="L45" s="612"/>
      <c r="M45" s="612"/>
      <c r="N45" s="612"/>
      <c r="O45" s="617" t="s">
        <v>781</v>
      </c>
      <c r="P45" s="618"/>
      <c r="Q45" s="618"/>
      <c r="R45" s="618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 t="s">
        <v>779</v>
      </c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 ht="12">
      <c r="A51" s="349"/>
      <c r="B51" s="349"/>
      <c r="C51" s="349"/>
      <c r="D51" s="530"/>
      <c r="E51" s="530"/>
      <c r="F51" s="530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4:6" ht="12">
      <c r="D68" s="529"/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  <row r="233" spans="5:6" ht="12">
      <c r="E233" s="529"/>
      <c r="F233" s="529"/>
    </row>
  </sheetData>
  <sheetProtection/>
  <mergeCells count="12">
    <mergeCell ref="O45:R45"/>
    <mergeCell ref="Q5:Q6"/>
    <mergeCell ref="R5:R6"/>
    <mergeCell ref="J5:J6"/>
    <mergeCell ref="M3:N3"/>
    <mergeCell ref="A5:B6"/>
    <mergeCell ref="C5:C6"/>
    <mergeCell ref="K45:N45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O9:P17 K9:M17 H9:I17 D9:F17 O34:P38 K34:M38 H34:I38 D34:F38 O29:P32 K29:M32 H29:I32 D29:F32 O22:P25 K22:M25 H22:I25 D22:F25 O19:P20 K19:M20 H19:I2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O40:P40 K40:M40 H40:I40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8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88">
      <selection activeCell="F110" sqref="F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9" t="s">
        <v>609</v>
      </c>
      <c r="B1" s="629"/>
      <c r="C1" s="629"/>
      <c r="D1" s="629"/>
      <c r="E1" s="62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32" t="str">
        <f>'справка №1-БАЛАНС'!E3</f>
        <v>БГ  АГРО  АД</v>
      </c>
      <c r="C3" s="633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0">
        <f>'справка №1-БАЛАНС'!E5</f>
        <v>43465</v>
      </c>
      <c r="C4" s="63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>
        <v>5769</v>
      </c>
      <c r="D15" s="108"/>
      <c r="E15" s="120">
        <f t="shared" si="0"/>
        <v>5769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5769</v>
      </c>
      <c r="D19" s="104">
        <f>D11+D15+D16</f>
        <v>0</v>
      </c>
      <c r="E19" s="118">
        <f>E11+E15+E16</f>
        <v>5769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41</v>
      </c>
      <c r="D21" s="108"/>
      <c r="E21" s="120">
        <f t="shared" si="0"/>
        <v>41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1500</v>
      </c>
      <c r="D24" s="119">
        <f>SUM(D25:D27)</f>
        <v>1500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1500</v>
      </c>
      <c r="D26" s="108">
        <v>1500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14082</v>
      </c>
      <c r="D28" s="108">
        <v>14082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v>2729</v>
      </c>
      <c r="D30" s="108">
        <v>2729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107</v>
      </c>
      <c r="D33" s="105">
        <f>SUM(D34:D37)</f>
        <v>107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107</v>
      </c>
      <c r="D35" s="108">
        <v>107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827</v>
      </c>
      <c r="D38" s="105">
        <f>SUM(D39:D42)</f>
        <v>827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21+806</f>
        <v>827</v>
      </c>
      <c r="D42" s="108">
        <v>827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19245</v>
      </c>
      <c r="D43" s="104">
        <f>D24+D28+D29+D31+D30+D32+D33+D38</f>
        <v>19245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25055</v>
      </c>
      <c r="D44" s="103">
        <f>D43+D21+D19+D9</f>
        <v>19245</v>
      </c>
      <c r="E44" s="118">
        <f>E43+E21+E19+E9</f>
        <v>5810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344</v>
      </c>
      <c r="D68" s="108"/>
      <c r="E68" s="119">
        <f t="shared" si="1"/>
        <v>344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37337</v>
      </c>
      <c r="D75" s="103">
        <f>D76+D78</f>
        <v>37337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37337</v>
      </c>
      <c r="D76" s="108">
        <v>37337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3816</v>
      </c>
      <c r="D85" s="104">
        <f>SUM(D86:D90)+D94</f>
        <v>3690</v>
      </c>
      <c r="E85" s="104">
        <f>SUM(E86:E90)+E94</f>
        <v>126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2860</v>
      </c>
      <c r="D87" s="108">
        <v>2860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459+126</f>
        <v>585</v>
      </c>
      <c r="D89" s="108">
        <v>459</v>
      </c>
      <c r="E89" s="119">
        <f t="shared" si="1"/>
        <v>126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173</v>
      </c>
      <c r="D90" s="103">
        <f>SUM(D91:D93)</f>
        <v>173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173</v>
      </c>
      <c r="D91" s="108">
        <v>173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198</v>
      </c>
      <c r="D94" s="108">
        <v>198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1238</v>
      </c>
      <c r="D95" s="108">
        <v>1238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42391</v>
      </c>
      <c r="D96" s="104">
        <f>D85+D80+D75+D71+D95</f>
        <v>42265</v>
      </c>
      <c r="E96" s="104">
        <f>E85+E80+E75+E71+E95</f>
        <v>126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42735</v>
      </c>
      <c r="D97" s="104">
        <f>D96+D68+D66</f>
        <v>42265</v>
      </c>
      <c r="E97" s="104">
        <f>E96+E68+E66</f>
        <v>470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8" t="s">
        <v>780</v>
      </c>
      <c r="B107" s="628"/>
      <c r="C107" s="628"/>
      <c r="D107" s="628"/>
      <c r="E107" s="628"/>
      <c r="F107" s="62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7" t="s">
        <v>869</v>
      </c>
      <c r="B109" s="627"/>
      <c r="C109" s="627" t="s">
        <v>382</v>
      </c>
      <c r="D109" s="627"/>
      <c r="E109" s="627"/>
      <c r="F109" s="62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6" t="s">
        <v>781</v>
      </c>
      <c r="D111" s="626"/>
      <c r="E111" s="626"/>
      <c r="F111" s="62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48" top="0.17" bottom="0.16" header="0.17" footer="0.16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4" t="str">
        <f>'справка №1-БАЛАНС'!E3</f>
        <v>БГ  АГРО  АД</v>
      </c>
      <c r="C4" s="634"/>
      <c r="D4" s="634"/>
      <c r="E4" s="634"/>
      <c r="F4" s="634"/>
      <c r="G4" s="640" t="s">
        <v>2</v>
      </c>
      <c r="H4" s="640"/>
      <c r="I4" s="500" t="str">
        <f>'справка №1-БАЛАНС'!H3</f>
        <v> </v>
      </c>
    </row>
    <row r="5" spans="1:9" ht="15">
      <c r="A5" s="501" t="s">
        <v>5</v>
      </c>
      <c r="B5" s="635">
        <f>'справка №1-БАЛАНС'!E5</f>
        <v>43465</v>
      </c>
      <c r="C5" s="635"/>
      <c r="D5" s="635"/>
      <c r="E5" s="635"/>
      <c r="F5" s="635"/>
      <c r="G5" s="638" t="s">
        <v>4</v>
      </c>
      <c r="H5" s="63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37"/>
      <c r="C30" s="637"/>
      <c r="D30" s="459" t="s">
        <v>819</v>
      </c>
      <c r="E30" s="636"/>
      <c r="F30" s="636"/>
      <c r="G30" s="636"/>
      <c r="H30" s="420" t="s">
        <v>781</v>
      </c>
      <c r="I30" s="636"/>
      <c r="J30" s="63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41" t="str">
        <f>'справка №1-БАЛАНС'!E3</f>
        <v>БГ  АГРО  АД</v>
      </c>
      <c r="C5" s="641"/>
      <c r="D5" s="641"/>
      <c r="E5" s="569" t="s">
        <v>2</v>
      </c>
      <c r="F5" s="451" t="str">
        <f>'справка №1-БАЛАНС'!H3</f>
        <v> </v>
      </c>
    </row>
    <row r="6" spans="1:13" ht="15" customHeight="1">
      <c r="A6" s="27" t="s">
        <v>822</v>
      </c>
      <c r="B6" s="642">
        <f>'справка №1-БАЛАНС'!E5</f>
        <v>43465</v>
      </c>
      <c r="C6" s="642"/>
      <c r="D6" s="510"/>
      <c r="E6" s="568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573"/>
      <c r="D12" s="573"/>
      <c r="E12" s="441"/>
      <c r="F12" s="443">
        <f>C12-E12</f>
        <v>0</v>
      </c>
    </row>
    <row r="13" spans="1:6" ht="12.75">
      <c r="A13" s="36">
        <v>2</v>
      </c>
      <c r="B13" s="37"/>
      <c r="C13" s="573"/>
      <c r="D13" s="573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573"/>
      <c r="D14" s="573"/>
      <c r="E14" s="441"/>
      <c r="F14" s="443">
        <f t="shared" si="0"/>
        <v>0</v>
      </c>
    </row>
    <row r="15" spans="1:6" ht="12.75">
      <c r="A15" s="36">
        <v>4</v>
      </c>
      <c r="B15" s="37"/>
      <c r="C15" s="573"/>
      <c r="D15" s="573"/>
      <c r="E15" s="441"/>
      <c r="F15" s="443">
        <f t="shared" si="0"/>
        <v>0</v>
      </c>
    </row>
    <row r="16" spans="1:6" ht="12.75">
      <c r="A16" s="36">
        <v>5</v>
      </c>
      <c r="B16" s="37"/>
      <c r="C16" s="573"/>
      <c r="D16" s="573"/>
      <c r="E16" s="441"/>
      <c r="F16" s="443">
        <f t="shared" si="0"/>
        <v>0</v>
      </c>
    </row>
    <row r="17" spans="1:6" ht="12.75">
      <c r="A17" s="36">
        <v>6</v>
      </c>
      <c r="B17" s="37"/>
      <c r="C17" s="573"/>
      <c r="D17" s="573"/>
      <c r="E17" s="441"/>
      <c r="F17" s="443">
        <f t="shared" si="0"/>
        <v>0</v>
      </c>
    </row>
    <row r="18" spans="1:6" ht="12.75">
      <c r="A18" s="36">
        <v>7</v>
      </c>
      <c r="B18" s="37"/>
      <c r="C18" s="573"/>
      <c r="D18" s="573"/>
      <c r="E18" s="441"/>
      <c r="F18" s="443">
        <f t="shared" si="0"/>
        <v>0</v>
      </c>
    </row>
    <row r="19" spans="1:6" ht="12.75">
      <c r="A19" s="36">
        <v>8</v>
      </c>
      <c r="B19" s="37"/>
      <c r="C19" s="573"/>
      <c r="D19" s="573"/>
      <c r="E19" s="441"/>
      <c r="F19" s="443">
        <f t="shared" si="0"/>
        <v>0</v>
      </c>
    </row>
    <row r="20" spans="1:6" ht="12.75">
      <c r="A20" s="36">
        <v>9</v>
      </c>
      <c r="B20" s="37"/>
      <c r="C20" s="573"/>
      <c r="D20" s="573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43" t="s">
        <v>849</v>
      </c>
      <c r="D151" s="643"/>
      <c r="E151" s="643"/>
      <c r="F151" s="64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3" t="s">
        <v>857</v>
      </c>
      <c r="D153" s="643"/>
      <c r="E153" s="643"/>
      <c r="F153" s="64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9:C26 E12:F26 D19:D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Angelina Pavlova</cp:lastModifiedBy>
  <cp:lastPrinted>2019-02-28T09:21:15Z</cp:lastPrinted>
  <dcterms:created xsi:type="dcterms:W3CDTF">2000-06-29T12:02:40Z</dcterms:created>
  <dcterms:modified xsi:type="dcterms:W3CDTF">2019-02-28T09:34:10Z</dcterms:modified>
  <cp:category/>
  <cp:version/>
  <cp:contentType/>
  <cp:contentStatus/>
</cp:coreProperties>
</file>