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60" windowWidth="15615" windowHeight="10725" tabRatio="79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externalReferences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<sst xmlns="http://schemas.openxmlformats.org/spreadsheetml/2006/main" count="1057" uniqueCount="873">
  <si>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</si>
  <si>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</si>
  <si>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</si>
  <si>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</si>
  <si>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</si>
  <si>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</si>
  <si>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</si>
  <si>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</si>
  <si>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</si>
  <si>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</si>
  <si>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</si>
  <si>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</si>
  <si>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</si>
  <si>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</si>
  <si>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</si>
  <si>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</si>
  <si>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</si>
  <si>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</si>
  <si>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</si>
  <si>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</si>
  <si>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</si>
  <si>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</si>
  <si>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</si>
  <si>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</si>
  <si>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</si>
  <si>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</si>
  <si>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</si>
  <si>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</si>
  <si>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</si>
  <si>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</si>
  <si>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</si>
  <si>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</si>
  <si>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</si>
  <si>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</si>
  <si>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</si>
  <si>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</si>
  <si>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</si>
  <si>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</si>
  <si>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</si>
  <si>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</si>
  <si>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</si>
  <si>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</si>
  <si>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</si>
  <si>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</si>
  <si>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</si>
  <si>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</si>
  <si>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</si>
  <si>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</si>
  <si>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</si>
  <si>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</si>
  <si>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</si>
  <si>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</si>
  <si>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</si>
  <si>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</si>
  <si>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</si>
  <si>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</si>
  <si>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</si>
  <si>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</si>
  <si>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</si>
  <si>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</si>
  <si>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</si>
  <si>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</si>
  <si>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</si>
  <si>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</si>
  <si>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</si>
  <si>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</si>
  <si>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</si>
  <si>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</si>
  <si>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</si>
  <si>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</si>
  <si>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</si>
  <si>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</si>
  <si>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</si>
  <si>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</si>
  <si>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</si>
  <si>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</si>
  <si>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</si>
  <si>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</si>
  <si>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</si>
  <si>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</si>
  <si>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</si>
  <si>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</si>
  <si>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</si>
  <si>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</si>
  <si>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</si>
  <si>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</si>
  <si>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</si>
  <si>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</si>
  <si>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</si>
  <si>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</si>
  <si>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</si>
  <si>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</si>
  <si>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</si>
  <si>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</si>
  <si>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</si>
  <si>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</si>
  <si>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</si>
  <si>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</si>
  <si>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</si>
  <si>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</si>
  <si>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</si>
  <si>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</si>
  <si>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</si>
  <si>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</si>
  <si>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</si>
  <si>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</si>
  <si>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</si>
  <si>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</si>
  <si>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</si>
  <si>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</si>
  <si>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</si>
  <si>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</si>
  <si>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</si>
  <si>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</si>
  <si>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</si>
  <si>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</si>
  <si>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</si>
  <si>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</si>
  <si>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</si>
  <si>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</si>
  <si>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</si>
  <si>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</si>
  <si>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</si>
  <si>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</si>
  <si>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</si>
  <si>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</si>
  <si>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</si>
  <si>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</si>
  <si>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</si>
  <si>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</si>
  <si>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</si>
  <si>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</si>
  <si>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</si>
  <si>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</si>
  <si>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</si>
  <si>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</si>
  <si>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</si>
  <si>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</si>
  <si>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</si>
  <si>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</si>
  <si>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</si>
  <si>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</si>
  <si>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</si>
  <si>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</si>
  <si>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</si>
  <si>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</si>
  <si>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</si>
  <si>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</si>
  <si>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</si>
  <si>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</si>
  <si>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</si>
  <si>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</si>
  <si>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</si>
  <si>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</si>
  <si>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</si>
  <si>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</si>
  <si>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</si>
  <si>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</si>
  <si>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</si>
  <si>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</si>
  <si>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</si>
  <si>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</si>
  <si>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</si>
  <si>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</si>
  <si>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</si>
  <si>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</si>
  <si>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</si>
  <si>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</si>
  <si>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</si>
  <si>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</si>
  <si>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</si>
  <si>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</si>
  <si>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</si>
  <si>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</si>
  <si>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</si>
  <si>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</si>
  <si>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</si>
  <si>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</si>
  <si>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</si>
  <si>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</si>
  <si>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</si>
  <si>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</si>
  <si>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</si>
  <si>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</si>
  <si>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</si>
  <si>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</si>
  <si>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</si>
  <si>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</si>
  <si>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</si>
  <si>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</si>
  <si>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</si>
  <si>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</si>
  <si>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</si>
  <si>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</si>
  <si>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</si>
  <si>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</si>
  <si>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</si>
  <si>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</si>
  <si>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</si>
  <si>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</si>
  <si>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</si>
  <si>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</si>
  <si>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</si>
  <si>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</si>
  <si>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</si>
  <si>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</si>
  <si>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</si>
  <si>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</si>
  <si>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</si>
  <si>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</si>
  <si>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</si>
  <si>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</si>
  <si>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</si>
  <si>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</si>
  <si>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</si>
  <si>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</si>
  <si>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</si>
  <si>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</si>
  <si>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</si>
  <si>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</si>
  <si>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</si>
  <si>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</si>
  <si>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</si>
  <si>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</si>
  <si>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</si>
  <si>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</si>
  <si>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</si>
  <si>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</si>
  <si>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</si>
  <si>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</si>
  <si>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</si>
  <si>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</si>
  <si>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</si>
  <si>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</si>
  <si>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</si>
  <si>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</si>
  <si>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</si>
  <si>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</si>
  <si>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</si>
  <si>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</si>
  <si>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</si>
  <si>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</si>
  <si>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</si>
  <si>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</si>
  <si>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</si>
  <si>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</si>
  <si>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</si>
  <si>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</si>
  <si>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</si>
  <si>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</si>
  <si>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</si>
  <si>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</si>
  <si>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</si>
  <si>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</si>
  <si>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</si>
  <si>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</si>
  <si>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</si>
  <si>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</si>
  <si>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</si>
  <si>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</si>
  <si>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</si>
  <si>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</si>
  <si>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</si>
  <si>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</si>
  <si>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</si>
  <si>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</si>
  <si>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</si>
  <si>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</si>
  <si>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</si>
  <si>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</si>
  <si>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</si>
  <si>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</si>
  <si>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</si>
  <si>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</si>
  <si>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</si>
  <si>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</si>
  <si>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</si>
  <si>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</si>
  <si>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</si>
  <si>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</si>
  <si>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</si>
  <si>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</si>
  <si>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</si>
  <si>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</si>
  <si>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</si>
  <si>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</si>
  <si>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</si>
  <si>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</si>
  <si>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</si>
  <si>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</si>
  <si>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</si>
  <si>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</si>
  <si>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</si>
  <si>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</si>
  <si>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</si>
  <si>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</si>
  <si>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</si>
  <si>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</si>
  <si>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</si>
  <si>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</si>
  <si>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</si>
  <si>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</si>
  <si>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</si>
  <si>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</si>
  <si>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</si>
  <si>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</si>
  <si>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</si>
  <si>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</si>
  <si>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</si>
  <si>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</si>
  <si>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</si>
  <si>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</si>
  <si>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</si>
  <si>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</si>
  <si>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</si>
  <si>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</si>
  <si>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</si>
  <si>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</si>
  <si>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</si>
  <si>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</si>
  <si>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</si>
  <si>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</si>
  <si>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</si>
  <si>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</si>
  <si>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</si>
  <si>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</si>
  <si>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</si>
  <si>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</si>
  <si>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</si>
  <si>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</si>
  <si>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</si>
  <si>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</si>
  <si>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</si>
  <si>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</si>
  <si>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</si>
  <si>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</si>
  <si>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</si>
  <si>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</si>
  <si>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</si>
  <si>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</si>
  <si>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</si>
  <si>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</si>
  <si>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</si>
  <si>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</si>
  <si>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</si>
  <si>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</si>
  <si>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</si>
  <si>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</si>
  <si>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</si>
  <si>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</si>
  <si>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</si>
  <si>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</si>
  <si>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</si>
  <si>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</si>
  <si>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</si>
  <si>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</si>
  <si>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</si>
  <si>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</si>
  <si>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</si>
  <si>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</si>
  <si>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</si>
  <si>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</si>
  <si>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</si>
  <si>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</si>
  <si>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</si>
  <si>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</si>
  <si>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</si>
  <si>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</si>
  <si>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</si>
  <si>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</si>
  <si>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</si>
  <si>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</si>
  <si>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</si>
  <si>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</si>
  <si>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</si>
  <si>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</si>
  <si>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</si>
  <si>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</si>
  <si>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</si>
  <si>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</si>
  <si>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</si>
  <si>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</si>
  <si>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</si>
  <si>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</si>
  <si>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</si>
  <si>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</si>
  <si>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</si>
  <si>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</si>
  <si>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</si>
  <si>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</si>
  <si>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</si>
  <si>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</si>
  <si>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</si>
  <si>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</si>
  <si>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</si>
  <si>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</si>
  <si>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</si>
  <si>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</si>
  <si>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</si>
  <si>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</si>
  <si>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</si>
  <si>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</si>
  <si>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</si>
  <si>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</si>
  <si>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</si>
  <si>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</si>
  <si>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</si>
  <si>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</si>
  <si>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</si>
  <si>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</si>
  <si>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</si>
  <si>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</si>
  <si>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</si>
  <si>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</si>
  <si>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</si>
  <si>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</si>
  <si>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</si>
  <si>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</si>
  <si>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</si>
  <si>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</si>
  <si>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</si>
  <si>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</si>
  <si>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</si>
  <si>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</si>
  <si>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</si>
  <si>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</si>
  <si>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</si>
  <si>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</si>
  <si>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</si>
  <si>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</si>
  <si>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</si>
  <si>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</si>
  <si>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</si>
  <si>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</si>
  <si>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</si>
  <si>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</si>
  <si>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</si>
  <si>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</si>
  <si>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</si>
  <si>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</si>
  <si>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</si>
  <si>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</si>
  <si>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</si>
  <si>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</si>
  <si>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</si>
  <si>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</si>
  <si>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</si>
  <si>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</si>
  <si>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</si>
  <si>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</si>
  <si>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</si>
  <si>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</si>
  <si>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</si>
  <si>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</si>
  <si>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</si>
  <si>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</si>
  <si>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</si>
  <si>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</si>
  <si>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</si>
  <si>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</si>
  <si>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</si>
  <si>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</si>
  <si>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</si>
  <si>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</si>
  <si>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</si>
  <si>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</si>
  <si>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</si>
  <si>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</si>
  <si>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</si>
  <si>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</si>
  <si>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</si>
  <si>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</si>
  <si>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</si>
  <si>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</si>
  <si>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</si>
  <si>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</si>
  <si>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</si>
  <si>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</si>
  <si>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</si>
  <si>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</si>
  <si>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</si>
  <si>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</si>
  <si>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</si>
  <si>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</si>
  <si>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</si>
  <si>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</si>
  <si>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</si>
  <si>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</si>
  <si>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</si>
  <si>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</si>
  <si>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</si>
  <si>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</si>
  <si>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</si>
  <si>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</si>
  <si>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</si>
  <si>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</si>
  <si>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</si>
  <si>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</si>
  <si>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</si>
  <si>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</si>
  <si>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</si>
  <si>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</si>
  <si>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</si>
  <si>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</si>
  <si>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</si>
  <si>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</si>
  <si>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</si>
  <si>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</si>
  <si>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</si>
  <si>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</si>
  <si>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</si>
  <si>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</si>
  <si>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</si>
  <si>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</si>
  <si>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</si>
  <si>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</si>
  <si>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</si>
  <si>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</si>
  <si>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</si>
  <si>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</si>
  <si>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</si>
  <si>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</si>
  <si>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</si>
  <si>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</si>
  <si>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</si>
  <si>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</si>
  <si>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</si>
  <si>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</si>
  <si>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</si>
  <si>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</si>
  <si>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</si>
  <si>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</si>
  <si>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</si>
  <si>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</si>
  <si>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</si>
  <si>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</si>
  <si>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</si>
  <si>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</si>
  <si>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</si>
  <si>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</si>
  <si>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</si>
  <si>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</si>
  <si>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</si>
  <si>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</si>
  <si>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</si>
  <si>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</si>
  <si>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</si>
  <si>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</si>
  <si>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</si>
  <si>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</si>
  <si>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</si>
  <si>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</si>
  <si>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</si>
  <si>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</si>
  <si>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</si>
  <si>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</si>
  <si>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</si>
  <si>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</si>
  <si>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</si>
  <si>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</si>
  <si>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</si>
  <si>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</si>
  <si>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</si>
  <si>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</si>
  <si>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</si>
  <si>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</si>
  <si>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</si>
  <si>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</si>
  <si>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</si>
  <si>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</si>
  <si>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</si>
  <si>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</si>
  <si>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</si>
  <si>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</si>
  <si>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</si>
  <si>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</si>
  <si>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</si>
  <si>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</si>
  <si>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</si>
  <si>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</si>
  <si>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</si>
  <si>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</si>
  <si>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</si>
  <si>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</si>
  <si>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</si>
  <si>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</si>
  <si>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</si>
  <si>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</si>
  <si>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</si>
  <si>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</si>
  <si>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</si>
  <si>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</si>
  <si>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</si>
  <si>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</si>
  <si>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</si>
  <si>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</si>
  <si>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</si>
  <si>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</si>
  <si>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</si>
  <si>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</si>
  <si>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</si>
  <si>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</si>
  <si>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</si>
  <si>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</si>
  <si>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</si>
  <si>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</si>
  <si>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</si>
  <si>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</si>
  <si>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</si>
  <si>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</si>
  <si>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</si>
  <si>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</si>
  <si>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</si>
  <si>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</si>
  <si>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</si>
  <si>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</si>
  <si>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</si>
  <si>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</si>
  <si>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</si>
  <si>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</si>
  <si>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</si>
  <si>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</si>
  <si>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</si>
  <si>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</si>
  <si>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</si>
  <si>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</si>
  <si>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</si>
  <si>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</si>
  <si>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</si>
  <si>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</si>
  <si>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</si>
  <si>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</si>
  <si>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</si>
  <si>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</si>
  <si>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</si>
  <si>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</si>
  <si>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</si>
  <si>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</si>
  <si>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</si>
  <si>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</si>
  <si>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</si>
  <si>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</si>
  <si>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</si>
  <si>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</si>
  <si>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</si>
  <si>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</si>
  <si>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</si>
  <si>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</si>
  <si>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</si>
  <si>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</si>
  <si>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</si>
  <si>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</si>
  <si>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</si>
  <si>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</si>
  <si>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</si>
  <si>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</si>
  <si>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</si>
  <si>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</si>
  <si>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</si>
  <si>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</si>
  <si>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</si>
  <si>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</si>
  <si>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</si>
  <si>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</si>
  <si>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</si>
  <si>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</si>
  <si>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</si>
  <si>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</si>
  <si>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</si>
  <si>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</si>
  <si>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</si>
  <si>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</si>
  <si>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</si>
  <si>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</si>
  <si>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</si>
  <si>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</si>
  <si>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</si>
  <si>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</si>
  <si>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</si>
  <si>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</si>
  <si>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</si>
  <si>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</si>
  <si>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</si>
  <si>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</si>
  <si>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</si>
  <si>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</si>
  <si>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</si>
  <si>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</si>
  <si>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</si>
  <si>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</si>
  <si>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</si>
  <si>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</si>
  <si>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</si>
  <si>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</si>
  <si>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</si>
  <si>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</si>
  <si>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</si>
  <si>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</si>
  <si>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</si>
  <si>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</si>
  <si>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</si>
  <si>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</si>
  <si>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</si>
  <si>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</si>
  <si>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</si>
  <si>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</si>
  <si>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</si>
  <si>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</si>
  <si>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</si>
  <si>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</si>
  <si>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</si>
  <si>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</si>
  <si>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</si>
  <si>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</si>
  <si>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</si>
  <si>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</si>
  <si>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</si>
  <si>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</si>
  <si>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</si>
  <si>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</si>
  <si>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</si>
  <si>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</si>
  <si>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</si>
  <si>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</si>
  <si>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</si>
  <si>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</si>
  <si>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</si>
  <si>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</si>
  <si>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</si>
  <si>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</si>
  <si>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</si>
  <si>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</si>
  <si>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</si>
  <si>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</si>
  <si>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</si>
  <si>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</si>
  <si>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</si>
  <si>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</si>
  <si>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</si>
  <si>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</si>
  <si>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</si>
  <si>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</si>
  <si>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</si>
  <si>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</si>
  <si>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</si>
  <si>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</si>
  <si>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</si>
  <si>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</si>
  <si>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</si>
  <si>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</si>
  <si>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</si>
  <si>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</si>
  <si>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</si>
  <si>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</si>
  <si>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</si>
  <si>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</si>
  <si>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</si>
  <si>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</si>
  <si>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</si>
  <si>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</si>
  <si>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</si>
  <si>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</si>
  <si>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</si>
  <si>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</si>
  <si>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</si>
  <si>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</si>
  <si>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</si>
  <si>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</si>
  <si>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</si>
  <si>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</si>
  <si>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</si>
  <si>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</si>
  <si>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</si>
  <si>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</si>
  <si>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</si>
  <si>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</si>
  <si>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</si>
  <si>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</si>
  <si>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</si>
  <si>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</si>
  <si>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</si>
  <si>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</si>
  <si>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</si>
  <si>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</si>
  <si>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</si>
  <si>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</si>
  <si>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</si>
  <si>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</si>
  <si>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</si>
  <si>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</si>
  <si>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</si>
  <si>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</si>
  <si>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</si>
  <si>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</si>
  <si>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</si>
  <si>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</si>
  <si>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</si>
  <si>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</si>
  <si>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</si>
  <si>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</si>
  <si>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</si>
  <si>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</si>
  <si>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</si>
  <si>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</si>
  <si>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</si>
  <si>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</si>
  <si>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</si>
  <si>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</si>
  <si>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</si>
  <si>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</si>
  <si>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</si>
  <si>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</si>
  <si>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</si>
  <si>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</si>
  <si>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</si>
  <si>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</si>
  <si>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</si>
  <si>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</si>
  <si>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</si>
  <si>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</si>
  <si>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</si>
  <si>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</si>
  <si>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</si>
  <si>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</si>
  <si>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</si>
  <si>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</si>
  <si>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</si>
  <si>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</si>
  <si>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</si>
  <si>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</si>
  <si>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</si>
  <si>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</si>
  <si>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</si>
  <si>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</si>
  <si>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</si>
  <si>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</si>
  <si>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</si>
  <si>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</si>
  <si>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</si>
  <si>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</si>
  <si>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</si>
  <si>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</si>
  <si>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</si>
  <si>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</si>
  <si>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</si>
  <si>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</si>
  <si>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</si>
  <si>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</si>
  <si>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</si>
  <si>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</si>
  <si>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</si>
  <si>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</si>
  <si>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</si>
  <si>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</si>
  <si>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</si>
  <si>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</si>
  <si>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</si>
  <si>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</si>
  <si>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</si>
  <si>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</si>
  <si>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</si>
  <si>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</si>
  <si>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</si>
  <si>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</si>
  <si>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</si>
  <si>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</si>
  <si>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</si>
  <si>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</si>
  <si>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съставяне:  31.03.2020</t>
  </si>
  <si>
    <t>Дата на съставяне: 31.03.2020</t>
  </si>
  <si>
    <t>Дата на съставяне 30.06.2020</t>
  </si>
  <si>
    <t>Дата на съставяне: 30.06.2020</t>
  </si>
  <si>
    <t>Дата  на съставяне:30.06.2020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</si>
</sst>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>
      <alignment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11" fillId="0" borderId="14" xfId="61" applyNumberFormat="1" applyFont="1" applyFill="1" applyBorder="1" applyAlignment="1" applyProtection="1">
      <alignment horizontal="left" vertical="center" wrapText="1"/>
      <protection/>
    </xf>
    <xf numFmtId="0" fontId="11" fillId="0" borderId="10" xfId="61" applyFont="1" applyFill="1" applyBorder="1" applyProtection="1">
      <alignment/>
      <protection/>
    </xf>
    <xf numFmtId="0" fontId="11" fillId="0" borderId="0" xfId="62" applyFont="1" applyFill="1">
      <alignment/>
      <protection/>
    </xf>
    <xf numFmtId="0" fontId="58" fillId="0" borderId="0" xfId="0" applyFont="1" applyBorder="1" applyAlignment="1">
      <alignment horizontal="right" vertical="center" wrapText="1"/>
    </xf>
    <xf numFmtId="0" fontId="21" fillId="0" borderId="0" xfId="62" applyFont="1" applyBorder="1">
      <alignment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left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1" applyNumberFormat="1" applyFont="1" applyFill="1" applyBorder="1" applyAlignment="1" applyProtection="1">
      <alignment horizontal="right" vertical="center"/>
      <protection locked="0"/>
    </xf>
    <xf numFmtId="1" fontId="11" fillId="0" borderId="0" xfId="62" applyNumberFormat="1" applyFont="1">
      <alignment/>
      <protection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0" borderId="13" xfId="61" applyNumberFormat="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3" fontId="11" fillId="0" borderId="0" xfId="62" applyNumberFormat="1" applyFont="1" applyFill="1">
      <alignment/>
      <protection/>
    </xf>
    <xf numFmtId="1" fontId="11" fillId="5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61" applyNumberFormat="1" applyFont="1" applyBorder="1" applyAlignment="1" applyProtection="1">
      <alignment horizontal="left" vertical="justify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1...&#1043;&#1088;&#1091;&#1087;&#1072;%20%20&#1041;&#1043;%20&#1040;&#1043;&#1056;&#1054;\&#1050;&#1054;&#1053;&#1057;&#1054;&#1051;&#1048;&#1044;&#1040;&#1062;&#1048;&#1071;%20&#1041;&#1043;%20&#1040;&#1043;&#1056;&#1054;\&#1050;&#1054;&#1053;&#1057;&#1054;&#1051;.%20&#1054;&#1058;&#1063;&#1045;&#1058;%20&#1047;&#1040;%20&#1047;&#1040;&#1042;&#1045;&#1056;&#1050;&#1040;%20%202019\Za%20komisia....&#1086;&#1082;&#1086;&#1085;&#1095;&#1072;&#1090;&#1077;&#1083;&#1077;&#1085;.......31.12.2019..........CFS..%20BG%20AGRO_13.07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1"/>
      <sheetName val="Sheet2"/>
    </sheetNames>
    <sheetDataSet>
      <sheetData sheetId="1">
        <row r="3">
          <cell r="E3" t="str">
            <v>БГ  АГРО  АД</v>
          </cell>
          <cell r="H3" t="str">
            <v> 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82">
      <selection activeCell="C94" sqref="C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384</v>
      </c>
      <c r="B3" s="594"/>
      <c r="C3" s="594"/>
      <c r="D3" s="594"/>
      <c r="E3" s="461" t="s">
        <v>864</v>
      </c>
      <c r="F3" s="217" t="s">
        <v>2</v>
      </c>
      <c r="G3" s="172"/>
      <c r="H3" s="460"/>
    </row>
    <row r="4" spans="1:8" ht="15">
      <c r="A4" s="593" t="s">
        <v>3</v>
      </c>
      <c r="B4" s="599"/>
      <c r="C4" s="599"/>
      <c r="D4" s="599"/>
      <c r="E4" s="503" t="s">
        <v>865</v>
      </c>
      <c r="F4" s="595" t="s">
        <v>4</v>
      </c>
      <c r="G4" s="596"/>
      <c r="H4" s="460" t="s">
        <v>159</v>
      </c>
    </row>
    <row r="5" spans="1:8" ht="15">
      <c r="A5" s="593" t="s">
        <v>5</v>
      </c>
      <c r="B5" s="594"/>
      <c r="C5" s="594"/>
      <c r="D5" s="594"/>
      <c r="E5" s="504">
        <v>44012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25441</v>
      </c>
      <c r="D11" s="151">
        <v>24554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13771</v>
      </c>
      <c r="D12" s="151">
        <v>10420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34875</v>
      </c>
      <c r="D13" s="151">
        <v>32615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3213</v>
      </c>
      <c r="D15" s="151">
        <v>2875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545</v>
      </c>
      <c r="D16" s="151">
        <v>535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502</v>
      </c>
      <c r="D17" s="151">
        <v>349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8938+52</f>
        <v>8990</v>
      </c>
      <c r="D18" s="151">
        <v>11589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87337</v>
      </c>
      <c r="D19" s="155">
        <f>SUM(D11:D18)</f>
        <v>82937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886</v>
      </c>
      <c r="D21" s="151">
        <v>901</v>
      </c>
      <c r="E21" s="251" t="s">
        <v>61</v>
      </c>
      <c r="F21" s="242" t="s">
        <v>62</v>
      </c>
      <c r="G21" s="156">
        <f>SUM(G22:G24)</f>
        <v>3888</v>
      </c>
      <c r="H21" s="156">
        <f>SUM(H22:H24)</f>
        <v>3888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3888</v>
      </c>
    </row>
    <row r="23" spans="1:13" ht="15">
      <c r="A23" s="235" t="s">
        <v>66</v>
      </c>
      <c r="B23" s="241" t="s">
        <v>67</v>
      </c>
      <c r="C23" s="151">
        <v>506</v>
      </c>
      <c r="D23" s="151">
        <v>535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90</v>
      </c>
      <c r="D24" s="151">
        <v>100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428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1024</v>
      </c>
      <c r="D27" s="155">
        <f>SUM(D23:D26)</f>
        <v>642</v>
      </c>
      <c r="E27" s="253" t="s">
        <v>83</v>
      </c>
      <c r="F27" s="242" t="s">
        <v>84</v>
      </c>
      <c r="G27" s="154">
        <f>SUM(G28:G30)</f>
        <v>24815</v>
      </c>
      <c r="H27" s="154">
        <f>SUM(H28:H30)</f>
        <v>22361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24815</v>
      </c>
      <c r="H28" s="152">
        <v>22361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1884</v>
      </c>
      <c r="H31" s="152">
        <v>2454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26699</v>
      </c>
      <c r="H33" s="154">
        <f>H27+H31+H32</f>
        <v>24815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70944</v>
      </c>
      <c r="H36" s="154">
        <f>H25+H17+H33</f>
        <v>69060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9924</v>
      </c>
      <c r="H44" s="152">
        <v>8620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2091</v>
      </c>
      <c r="D48" s="151">
        <v>2379</v>
      </c>
      <c r="E48" s="237" t="s">
        <v>149</v>
      </c>
      <c r="F48" s="242" t="s">
        <v>150</v>
      </c>
      <c r="G48" s="152">
        <v>6781</v>
      </c>
      <c r="H48" s="152">
        <v>6781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16705</v>
      </c>
      <c r="H49" s="154">
        <f>SUM(H43:H48)</f>
        <v>15401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2091</v>
      </c>
      <c r="D51" s="155">
        <f>SUM(D47:D50)</f>
        <v>2379</v>
      </c>
      <c r="E51" s="251" t="s">
        <v>157</v>
      </c>
      <c r="F51" s="245" t="s">
        <v>158</v>
      </c>
      <c r="G51" s="152">
        <v>52</v>
      </c>
      <c r="H51" s="152">
        <v>52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385</v>
      </c>
      <c r="H53" s="152">
        <v>371</v>
      </c>
    </row>
    <row r="54" spans="1:8" ht="15">
      <c r="A54" s="235" t="s">
        <v>166</v>
      </c>
      <c r="B54" s="249" t="s">
        <v>167</v>
      </c>
      <c r="C54" s="151">
        <v>106</v>
      </c>
      <c r="D54" s="151">
        <v>105</v>
      </c>
      <c r="E54" s="237" t="s">
        <v>168</v>
      </c>
      <c r="F54" s="245" t="s">
        <v>169</v>
      </c>
      <c r="G54" s="152">
        <v>235</v>
      </c>
      <c r="H54" s="152">
        <v>257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91444</v>
      </c>
      <c r="D55" s="155">
        <f>D19+D20+D21+D27+D32+D45+D51+D53+D54</f>
        <v>86964</v>
      </c>
      <c r="E55" s="237" t="s">
        <v>172</v>
      </c>
      <c r="F55" s="261" t="s">
        <v>173</v>
      </c>
      <c r="G55" s="154">
        <f>G49+G51+G52+G53+G54</f>
        <v>17377</v>
      </c>
      <c r="H55" s="154">
        <f>H49+H51+H52+H53+H54</f>
        <v>16081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1342</v>
      </c>
      <c r="D58" s="151">
        <v>2357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351</v>
      </c>
      <c r="D59" s="151">
        <v>8804</v>
      </c>
      <c r="E59" s="251" t="s">
        <v>181</v>
      </c>
      <c r="F59" s="242" t="s">
        <v>182</v>
      </c>
      <c r="G59" s="152">
        <v>36714</v>
      </c>
      <c r="H59" s="152">
        <v>42110</v>
      </c>
      <c r="M59" s="157"/>
    </row>
    <row r="60" spans="1:8" ht="15">
      <c r="A60" s="235" t="s">
        <v>183</v>
      </c>
      <c r="B60" s="241" t="s">
        <v>184</v>
      </c>
      <c r="C60" s="151">
        <v>4345</v>
      </c>
      <c r="D60" s="151">
        <v>10924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17395</v>
      </c>
      <c r="D61" s="151">
        <v>5892</v>
      </c>
      <c r="E61" s="243" t="s">
        <v>189</v>
      </c>
      <c r="F61" s="272" t="s">
        <v>190</v>
      </c>
      <c r="G61" s="154">
        <f>SUM(G62:G68)</f>
        <v>10702</v>
      </c>
      <c r="H61" s="154">
        <f>SUM(H62:H68)</f>
        <v>1733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61</v>
      </c>
      <c r="H62" s="152">
        <v>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23433</v>
      </c>
      <c r="D64" s="155">
        <f>SUM(D58:D63)</f>
        <v>27977</v>
      </c>
      <c r="E64" s="237" t="s">
        <v>200</v>
      </c>
      <c r="F64" s="242" t="s">
        <v>201</v>
      </c>
      <c r="G64" s="152">
        <v>9804</v>
      </c>
      <c r="H64" s="152">
        <v>687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222</v>
      </c>
      <c r="H65" s="152">
        <v>230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398</v>
      </c>
      <c r="H66" s="152">
        <v>523</v>
      </c>
    </row>
    <row r="67" spans="1:8" ht="15">
      <c r="A67" s="235" t="s">
        <v>207</v>
      </c>
      <c r="B67" s="241" t="s">
        <v>208</v>
      </c>
      <c r="C67" s="151">
        <v>287</v>
      </c>
      <c r="D67" s="151">
        <v>593</v>
      </c>
      <c r="E67" s="237" t="s">
        <v>209</v>
      </c>
      <c r="F67" s="242" t="s">
        <v>210</v>
      </c>
      <c r="G67" s="152">
        <v>146</v>
      </c>
      <c r="H67" s="152">
        <v>157</v>
      </c>
    </row>
    <row r="68" spans="1:8" ht="15">
      <c r="A68" s="235" t="s">
        <v>211</v>
      </c>
      <c r="B68" s="241" t="s">
        <v>212</v>
      </c>
      <c r="C68" s="151">
        <v>11402</v>
      </c>
      <c r="D68" s="151">
        <v>5774</v>
      </c>
      <c r="E68" s="237" t="s">
        <v>213</v>
      </c>
      <c r="F68" s="242" t="s">
        <v>214</v>
      </c>
      <c r="G68" s="152">
        <v>71</v>
      </c>
      <c r="H68" s="152">
        <v>106</v>
      </c>
    </row>
    <row r="69" spans="1:8" ht="15">
      <c r="A69" s="235" t="s">
        <v>215</v>
      </c>
      <c r="B69" s="241" t="s">
        <v>216</v>
      </c>
      <c r="C69" s="151">
        <v>11127</v>
      </c>
      <c r="D69" s="151">
        <v>9267</v>
      </c>
      <c r="E69" s="251" t="s">
        <v>78</v>
      </c>
      <c r="F69" s="242" t="s">
        <v>217</v>
      </c>
      <c r="G69" s="152">
        <v>4358</v>
      </c>
      <c r="H69" s="152">
        <v>4359</v>
      </c>
    </row>
    <row r="70" spans="1:8" ht="15">
      <c r="A70" s="235" t="s">
        <v>218</v>
      </c>
      <c r="B70" s="241" t="s">
        <v>219</v>
      </c>
      <c r="C70" s="151">
        <v>583</v>
      </c>
      <c r="D70" s="151">
        <v>1016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75</v>
      </c>
      <c r="D71" s="151">
        <v>108</v>
      </c>
      <c r="E71" s="253" t="s">
        <v>46</v>
      </c>
      <c r="F71" s="273" t="s">
        <v>224</v>
      </c>
      <c r="G71" s="161">
        <f>G59+G60+G61+G69+G70</f>
        <v>51774</v>
      </c>
      <c r="H71" s="161">
        <f>H59+H60+H61+H69+H70</f>
        <v>48202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734</v>
      </c>
      <c r="D72" s="151">
        <v>603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580</v>
      </c>
      <c r="D74" s="151">
        <v>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24788</v>
      </c>
      <c r="D75" s="155">
        <f>SUM(D67:D74)</f>
        <v>17445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105</v>
      </c>
      <c r="H76" s="152">
        <v>143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51879</v>
      </c>
      <c r="H79" s="162">
        <f>H71+H74+H75+H76</f>
        <v>48345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44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93</v>
      </c>
      <c r="D88" s="151">
        <v>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106</v>
      </c>
      <c r="D91" s="155">
        <f>SUM(D87:D90)</f>
        <v>132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429</v>
      </c>
      <c r="D92" s="151">
        <v>968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48756</v>
      </c>
      <c r="D93" s="155">
        <f>D64+D75+D84+D91+D92</f>
        <v>46522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140200</v>
      </c>
      <c r="D94" s="164">
        <f>D93+D55</f>
        <v>133486</v>
      </c>
      <c r="E94" s="448" t="s">
        <v>270</v>
      </c>
      <c r="F94" s="289" t="s">
        <v>271</v>
      </c>
      <c r="G94" s="165">
        <f>G36+G39+G55+G79</f>
        <v>140200</v>
      </c>
      <c r="H94" s="165">
        <f>H36+H39+H55+H79</f>
        <v>133486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851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870</v>
      </c>
      <c r="B98" s="431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856</v>
      </c>
      <c r="D100" s="598"/>
      <c r="E100" s="59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G22" sqref="G2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602" t="str">
        <f>'справка №1-БАЛАНС'!E3</f>
        <v>БГ  АГРО  АД</v>
      </c>
      <c r="C2" s="602"/>
      <c r="D2" s="602"/>
      <c r="E2" s="602"/>
      <c r="F2" s="604" t="s">
        <v>2</v>
      </c>
      <c r="G2" s="604"/>
      <c r="H2" s="525">
        <f>'справка №1-БАЛАНС'!H3</f>
        <v>0</v>
      </c>
    </row>
    <row r="3" spans="1:8" ht="15">
      <c r="A3" s="466" t="s">
        <v>275</v>
      </c>
      <c r="B3" s="602" t="str">
        <f>'справка №1-БАЛАНС'!E4</f>
        <v>КОНСОЛИДИРАН</v>
      </c>
      <c r="C3" s="602"/>
      <c r="D3" s="602"/>
      <c r="E3" s="602"/>
      <c r="F3" s="544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603">
        <f>'справка №1-БАЛАНС'!E5</f>
        <v>44012</v>
      </c>
      <c r="C4" s="603"/>
      <c r="D4" s="603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4470</f>
        <v>4470</v>
      </c>
      <c r="D9" s="46">
        <v>4130</v>
      </c>
      <c r="E9" s="298" t="s">
        <v>285</v>
      </c>
      <c r="F9" s="547" t="s">
        <v>286</v>
      </c>
      <c r="G9" s="548">
        <v>9302</v>
      </c>
      <c r="H9" s="548">
        <v>4881</v>
      </c>
    </row>
    <row r="10" spans="1:8" ht="12">
      <c r="A10" s="298" t="s">
        <v>287</v>
      </c>
      <c r="B10" s="299" t="s">
        <v>288</v>
      </c>
      <c r="C10" s="46">
        <f>5020</f>
        <v>5020</v>
      </c>
      <c r="D10" s="46">
        <v>4475</v>
      </c>
      <c r="E10" s="298" t="s">
        <v>289</v>
      </c>
      <c r="F10" s="547" t="s">
        <v>290</v>
      </c>
      <c r="G10" s="548">
        <v>30984</v>
      </c>
      <c r="H10" s="548">
        <v>23824</v>
      </c>
    </row>
    <row r="11" spans="1:8" ht="12">
      <c r="A11" s="298" t="s">
        <v>291</v>
      </c>
      <c r="B11" s="299" t="s">
        <v>292</v>
      </c>
      <c r="C11" s="46">
        <v>3830</v>
      </c>
      <c r="D11" s="46">
        <v>1603</v>
      </c>
      <c r="E11" s="300" t="s">
        <v>293</v>
      </c>
      <c r="F11" s="547" t="s">
        <v>294</v>
      </c>
      <c r="G11" s="548">
        <v>1027</v>
      </c>
      <c r="H11" s="548">
        <v>429</v>
      </c>
    </row>
    <row r="12" spans="1:8" ht="12">
      <c r="A12" s="298" t="s">
        <v>295</v>
      </c>
      <c r="B12" s="299" t="s">
        <v>296</v>
      </c>
      <c r="C12" s="46">
        <v>2808</v>
      </c>
      <c r="D12" s="46">
        <v>2465</v>
      </c>
      <c r="E12" s="300" t="s">
        <v>78</v>
      </c>
      <c r="F12" s="547" t="s">
        <v>297</v>
      </c>
      <c r="G12" s="548">
        <v>217</v>
      </c>
      <c r="H12" s="548">
        <v>198</v>
      </c>
    </row>
    <row r="13" spans="1:18" ht="12">
      <c r="A13" s="298" t="s">
        <v>298</v>
      </c>
      <c r="B13" s="299" t="s">
        <v>299</v>
      </c>
      <c r="C13" s="46">
        <v>456</v>
      </c>
      <c r="D13" s="46">
        <v>418</v>
      </c>
      <c r="E13" s="301" t="s">
        <v>51</v>
      </c>
      <c r="F13" s="549" t="s">
        <v>300</v>
      </c>
      <c r="G13" s="546">
        <f>SUM(G9:G12)</f>
        <v>41530</v>
      </c>
      <c r="H13" s="546">
        <f>SUM(H9:H12)</f>
        <v>29332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27770</v>
      </c>
      <c r="D14" s="46">
        <v>21272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-2904</v>
      </c>
      <c r="D15" s="47">
        <f>-4442</f>
        <v>-4442</v>
      </c>
      <c r="E15" s="296" t="s">
        <v>305</v>
      </c>
      <c r="F15" s="552" t="s">
        <v>306</v>
      </c>
      <c r="G15" s="548">
        <v>2549</v>
      </c>
      <c r="H15" s="548">
        <v>2418</v>
      </c>
    </row>
    <row r="16" spans="1:8" ht="12">
      <c r="A16" s="298" t="s">
        <v>307</v>
      </c>
      <c r="B16" s="299" t="s">
        <v>308</v>
      </c>
      <c r="C16" s="47">
        <v>262</v>
      </c>
      <c r="D16" s="47">
        <v>243</v>
      </c>
      <c r="E16" s="298" t="s">
        <v>309</v>
      </c>
      <c r="F16" s="550" t="s">
        <v>310</v>
      </c>
      <c r="G16" s="553">
        <v>2549</v>
      </c>
      <c r="H16" s="553">
        <v>2418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41712</v>
      </c>
      <c r="D19" s="49">
        <f>SUM(D9:D15)+D16</f>
        <v>30164</v>
      </c>
      <c r="E19" s="304" t="s">
        <v>317</v>
      </c>
      <c r="F19" s="550" t="s">
        <v>318</v>
      </c>
      <c r="G19" s="548">
        <v>39</v>
      </c>
      <c r="H19" s="548">
        <v>180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74</v>
      </c>
      <c r="H21" s="548">
        <v>52</v>
      </c>
    </row>
    <row r="22" spans="1:8" ht="24">
      <c r="A22" s="304" t="s">
        <v>324</v>
      </c>
      <c r="B22" s="305" t="s">
        <v>325</v>
      </c>
      <c r="C22" s="46">
        <v>386</v>
      </c>
      <c r="D22" s="46">
        <v>371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173</v>
      </c>
      <c r="D24" s="46"/>
      <c r="E24" s="301" t="s">
        <v>103</v>
      </c>
      <c r="F24" s="552" t="s">
        <v>334</v>
      </c>
      <c r="G24" s="546">
        <f>SUM(G19:G23)</f>
        <v>113</v>
      </c>
      <c r="H24" s="546">
        <f>SUM(H19:H23)</f>
        <v>232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36</v>
      </c>
      <c r="D25" s="46">
        <v>152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595</v>
      </c>
      <c r="D26" s="49">
        <f>SUM(D22:D25)</f>
        <v>523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42307</v>
      </c>
      <c r="D28" s="50">
        <f>D26+D19</f>
        <v>30687</v>
      </c>
      <c r="E28" s="127" t="s">
        <v>339</v>
      </c>
      <c r="F28" s="552" t="s">
        <v>340</v>
      </c>
      <c r="G28" s="546">
        <f>G13+G15+G24</f>
        <v>44192</v>
      </c>
      <c r="H28" s="546">
        <f>H13+H15+H24</f>
        <v>31982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1885</v>
      </c>
      <c r="D30" s="50">
        <f>IF((H28-D28)&gt;0,H28-D28,0)</f>
        <v>1295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42307</v>
      </c>
      <c r="D33" s="49">
        <f>D28-D31+D32</f>
        <v>30687</v>
      </c>
      <c r="E33" s="127" t="s">
        <v>353</v>
      </c>
      <c r="F33" s="552" t="s">
        <v>354</v>
      </c>
      <c r="G33" s="53">
        <f>G32-G31+G28</f>
        <v>44192</v>
      </c>
      <c r="H33" s="53">
        <f>H32-H31+H28</f>
        <v>31982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1885</v>
      </c>
      <c r="D34" s="50">
        <f>IF((H33-D33)&gt;0,H33-D33,0)</f>
        <v>1295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</v>
      </c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29"/>
      <c r="D37" s="429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1884</v>
      </c>
      <c r="D39" s="459">
        <f>+IF((H33-D33-D35)&gt;0,H33-D33-D35,0)</f>
        <v>1295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1884</v>
      </c>
      <c r="D41" s="52">
        <f>IF(H39=0,IF(D39-D40&gt;0,D39-D40+H40,0),IF(H39-H40&lt;0,H40-H39+D39,0))</f>
        <v>1295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44192</v>
      </c>
      <c r="D42" s="53">
        <f>D33+D35+D39</f>
        <v>31982</v>
      </c>
      <c r="E42" s="128" t="s">
        <v>380</v>
      </c>
      <c r="F42" s="129" t="s">
        <v>381</v>
      </c>
      <c r="G42" s="53">
        <f>G39+G33</f>
        <v>44192</v>
      </c>
      <c r="H42" s="53">
        <f>H39+H33</f>
        <v>31982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3"/>
      <c r="C43" s="424"/>
      <c r="D43" s="424"/>
      <c r="E43" s="425"/>
      <c r="F43" s="558"/>
      <c r="G43" s="424"/>
      <c r="H43" s="424"/>
    </row>
    <row r="44" spans="1:8" ht="12">
      <c r="A44" s="314"/>
      <c r="B44" s="423"/>
      <c r="C44" s="424"/>
      <c r="D44" s="424"/>
      <c r="E44" s="425"/>
      <c r="F44" s="558"/>
      <c r="G44" s="424"/>
      <c r="H44" s="424"/>
    </row>
    <row r="45" spans="1:8" ht="12">
      <c r="A45" s="605" t="s">
        <v>862</v>
      </c>
      <c r="B45" s="605"/>
      <c r="C45" s="605"/>
      <c r="D45" s="605"/>
      <c r="E45" s="605"/>
      <c r="F45" s="558"/>
      <c r="G45" s="424"/>
      <c r="H45" s="424"/>
    </row>
    <row r="46" spans="1:8" ht="12">
      <c r="A46" s="314"/>
      <c r="B46" s="423"/>
      <c r="C46" s="424"/>
      <c r="D46" s="424"/>
      <c r="E46" s="425"/>
      <c r="F46" s="558"/>
      <c r="G46" s="424"/>
      <c r="H46" s="424"/>
    </row>
    <row r="47" spans="1:8" ht="12">
      <c r="A47" s="314"/>
      <c r="B47" s="423"/>
      <c r="C47" s="424"/>
      <c r="D47" s="424"/>
      <c r="E47" s="425"/>
      <c r="F47" s="558"/>
      <c r="G47" s="424"/>
      <c r="H47" s="424"/>
    </row>
    <row r="48" spans="1:15" ht="12">
      <c r="A48" s="502" t="s">
        <v>272</v>
      </c>
      <c r="B48" s="573">
        <v>44012</v>
      </c>
      <c r="C48" s="426" t="s">
        <v>382</v>
      </c>
      <c r="D48" s="600"/>
      <c r="E48" s="600"/>
      <c r="F48" s="600"/>
      <c r="G48" s="600"/>
      <c r="H48" s="60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781</v>
      </c>
      <c r="D50" s="601"/>
      <c r="E50" s="601"/>
      <c r="F50" s="601"/>
      <c r="G50" s="601"/>
      <c r="H50" s="601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16">
      <pane xSplit="1" topLeftCell="B1" activePane="topRight" state="frozen"/>
      <selection pane="topLeft" activeCell="A1" sqref="A1"/>
      <selection pane="topRight"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БГ  АГРО  АД</v>
      </c>
      <c r="C4" s="539" t="s">
        <v>2</v>
      </c>
      <c r="D4" s="539">
        <f>'справка №1-БАЛАНС'!H3</f>
        <v>0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44012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38017</v>
      </c>
      <c r="D10" s="54">
        <v>25793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-27302</f>
        <v>-27302</v>
      </c>
      <c r="D11" s="54">
        <v>-20407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-3289</f>
        <v>-3289</v>
      </c>
      <c r="D13" s="54">
        <f>-3132</f>
        <v>-3132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877</v>
      </c>
      <c r="D14" s="54">
        <v>429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f>-12</f>
        <v>-12</v>
      </c>
      <c r="D15" s="54">
        <f>-72</f>
        <v>-72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f>-2</f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-182</f>
        <v>-182</v>
      </c>
      <c r="D19" s="54">
        <v>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8107</v>
      </c>
      <c r="D20" s="55">
        <f>SUM(D10:D19)</f>
        <v>2649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-2137</f>
        <v>-2137</v>
      </c>
      <c r="D22" s="54">
        <f>-2958</f>
        <v>-2958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26</v>
      </c>
      <c r="D23" s="54">
        <v>190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-271</f>
        <v>-271</v>
      </c>
      <c r="D24" s="54">
        <f>-1262</f>
        <v>-1262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643</v>
      </c>
      <c r="D25" s="54">
        <v>1416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</v>
      </c>
      <c r="D26" s="54">
        <v>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f>-1</f>
        <v>-1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-1726</v>
      </c>
      <c r="D32" s="55">
        <f>SUM(D22:D31)</f>
        <v>-2607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37994</v>
      </c>
      <c r="D36" s="54">
        <v>32700</v>
      </c>
      <c r="E36" s="130"/>
      <c r="F36" s="130"/>
    </row>
    <row r="37" spans="1:6" ht="12">
      <c r="A37" s="332" t="s">
        <v>438</v>
      </c>
      <c r="B37" s="333" t="s">
        <v>439</v>
      </c>
      <c r="C37" s="54">
        <f>-46497</f>
        <v>-46497</v>
      </c>
      <c r="D37" s="54">
        <f>-34918</f>
        <v>-34918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f>-419</f>
        <v>-419</v>
      </c>
      <c r="D39" s="54">
        <f>-514</f>
        <v>-514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2515</v>
      </c>
      <c r="D41" s="54">
        <v>2651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-6407</v>
      </c>
      <c r="D42" s="55">
        <f>SUM(D34:D41)</f>
        <v>-81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-26</v>
      </c>
      <c r="D43" s="55">
        <f>D42+D32+D20</f>
        <v>-39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132</v>
      </c>
      <c r="D44" s="132">
        <v>118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106</v>
      </c>
      <c r="D45" s="55">
        <f>D44+D43</f>
        <v>79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106</v>
      </c>
      <c r="D46" s="56">
        <v>79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871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pane xSplit="1" topLeftCell="B1" activePane="topRight" state="frozen"/>
      <selection pane="topLeft" activeCell="A38" sqref="A38"/>
      <selection pane="topRight" activeCell="A39" sqref="A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609" t="str">
        <f>'справка №1-БАЛАНС'!E3</f>
        <v>БГ  АГРО  АД</v>
      </c>
      <c r="C3" s="609"/>
      <c r="D3" s="609"/>
      <c r="E3" s="609"/>
      <c r="F3" s="609"/>
      <c r="G3" s="609"/>
      <c r="H3" s="609"/>
      <c r="I3" s="609"/>
      <c r="J3" s="475"/>
      <c r="K3" s="611" t="s">
        <v>2</v>
      </c>
      <c r="L3" s="611"/>
      <c r="M3" s="477">
        <f>'справка №1-БАЛАНС'!H3</f>
        <v>0</v>
      </c>
      <c r="N3" s="2"/>
    </row>
    <row r="4" spans="1:15" s="530" customFormat="1" ht="13.5" customHeight="1">
      <c r="A4" s="466" t="s">
        <v>461</v>
      </c>
      <c r="B4" s="609" t="str">
        <f>'справка №1-БАЛАНС'!E4</f>
        <v>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613">
        <f>'справка №1-БАЛАНС'!E5</f>
        <v>44012</v>
      </c>
      <c r="C5" s="613"/>
      <c r="D5" s="613"/>
      <c r="E5" s="613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3888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24815</v>
      </c>
      <c r="J11" s="58">
        <f>'справка №1-БАЛАНС'!H29+'справка №1-БАЛАНС'!H32</f>
        <v>0</v>
      </c>
      <c r="K11" s="60"/>
      <c r="L11" s="344">
        <f>SUM(C11:K11)</f>
        <v>69060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3888</v>
      </c>
      <c r="G15" s="61">
        <f t="shared" si="2"/>
        <v>0</v>
      </c>
      <c r="H15" s="61">
        <f t="shared" si="2"/>
        <v>0</v>
      </c>
      <c r="I15" s="61">
        <f t="shared" si="2"/>
        <v>24815</v>
      </c>
      <c r="J15" s="61">
        <f t="shared" si="2"/>
        <v>0</v>
      </c>
      <c r="K15" s="61">
        <f t="shared" si="2"/>
        <v>0</v>
      </c>
      <c r="L15" s="344">
        <f t="shared" si="1"/>
        <v>69060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1884</v>
      </c>
      <c r="J16" s="345">
        <f>+'справка №1-БАЛАНС'!G32</f>
        <v>0</v>
      </c>
      <c r="K16" s="60"/>
      <c r="L16" s="344">
        <f t="shared" si="1"/>
        <v>1884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26699</v>
      </c>
      <c r="J29" s="59">
        <f t="shared" si="6"/>
        <v>0</v>
      </c>
      <c r="K29" s="59">
        <f t="shared" si="6"/>
        <v>0</v>
      </c>
      <c r="L29" s="344">
        <f t="shared" si="1"/>
        <v>70944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26699</v>
      </c>
      <c r="J32" s="59">
        <f t="shared" si="7"/>
        <v>0</v>
      </c>
      <c r="K32" s="59">
        <f t="shared" si="7"/>
        <v>0</v>
      </c>
      <c r="L32" s="344">
        <f t="shared" si="1"/>
        <v>70944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863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872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858</v>
      </c>
      <c r="K38" s="15"/>
      <c r="L38" s="608"/>
      <c r="M38" s="608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 t="s">
        <v>866</v>
      </c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5" sqref="R25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0.125" style="22" customWidth="1"/>
    <col min="6" max="6" width="7.375" style="22" customWidth="1"/>
    <col min="7" max="7" width="8.875" style="22" customWidth="1"/>
    <col min="8" max="8" width="6.00390625" style="22" customWidth="1"/>
    <col min="9" max="9" width="4.875" style="22" customWidth="1"/>
    <col min="10" max="10" width="9.12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4.87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384</v>
      </c>
      <c r="B2" s="615"/>
      <c r="C2" s="616" t="str">
        <f>'[1]справка №1-БАЛАНС'!E3</f>
        <v>БГ  АГРО  АД</v>
      </c>
      <c r="D2" s="616"/>
      <c r="E2" s="616"/>
      <c r="F2" s="616"/>
      <c r="G2" s="616"/>
      <c r="H2" s="616"/>
      <c r="I2" s="482"/>
      <c r="J2" s="482"/>
      <c r="K2" s="482"/>
      <c r="L2" s="482"/>
      <c r="M2" s="483" t="s">
        <v>2</v>
      </c>
      <c r="N2" s="481"/>
      <c r="O2" s="481" t="str">
        <f>'[1]справка №1-БАЛАНС'!H3</f>
        <v> </v>
      </c>
      <c r="P2" s="482"/>
      <c r="Q2" s="482"/>
      <c r="R2" s="525"/>
    </row>
    <row r="3" spans="1:18" ht="15">
      <c r="A3" s="614" t="s">
        <v>5</v>
      </c>
      <c r="B3" s="615"/>
      <c r="C3" s="647">
        <v>44012</v>
      </c>
      <c r="D3" s="647"/>
      <c r="E3" s="647"/>
      <c r="F3" s="484"/>
      <c r="G3" s="484"/>
      <c r="H3" s="484"/>
      <c r="I3" s="484"/>
      <c r="J3" s="484"/>
      <c r="K3" s="484"/>
      <c r="L3" s="484"/>
      <c r="M3" s="621" t="s">
        <v>4</v>
      </c>
      <c r="N3" s="621"/>
      <c r="O3" s="481" t="str">
        <f>'[1]справка №1-БАЛАНС'!H4</f>
        <v> </v>
      </c>
      <c r="P3" s="485"/>
      <c r="Q3" s="485"/>
      <c r="R3" s="526"/>
    </row>
    <row r="4" spans="1:24" ht="24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  <c r="X4" s="22"/>
    </row>
    <row r="5" spans="1:18" s="100" customFormat="1" ht="30.75" customHeight="1">
      <c r="A5" s="622" t="s">
        <v>464</v>
      </c>
      <c r="B5" s="623"/>
      <c r="C5" s="62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9" t="s">
        <v>530</v>
      </c>
      <c r="R5" s="619" t="s">
        <v>531</v>
      </c>
    </row>
    <row r="6" spans="1:18" s="100" customFormat="1" ht="57.75" customHeight="1">
      <c r="A6" s="624"/>
      <c r="B6" s="625"/>
      <c r="C6" s="62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0"/>
      <c r="R6" s="62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1"/>
      <c r="L8" s="582"/>
      <c r="M8" s="581"/>
      <c r="N8" s="581"/>
      <c r="O8" s="581"/>
      <c r="P8" s="581"/>
      <c r="Q8" s="581"/>
      <c r="R8" s="586"/>
      <c r="S8" s="577"/>
      <c r="T8" s="577"/>
      <c r="U8" s="577"/>
      <c r="V8" s="585"/>
      <c r="X8" s="22"/>
    </row>
    <row r="9" spans="1:24" ht="12">
      <c r="A9" s="366" t="s">
        <v>544</v>
      </c>
      <c r="B9" s="366" t="s">
        <v>545</v>
      </c>
      <c r="C9" s="367" t="s">
        <v>546</v>
      </c>
      <c r="D9" s="583">
        <v>24554</v>
      </c>
      <c r="E9" s="189">
        <v>887</v>
      </c>
      <c r="F9" s="583"/>
      <c r="G9" s="74">
        <f>D9+E9-F9</f>
        <v>25441</v>
      </c>
      <c r="H9" s="65"/>
      <c r="I9" s="65"/>
      <c r="J9" s="74">
        <f>G9</f>
        <v>25441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26">N9+O9-P9</f>
        <v>0</v>
      </c>
      <c r="R9" s="586">
        <f aca="true" t="shared" si="1" ref="R9:R26">J9-Q9</f>
        <v>25441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583">
        <v>13485</v>
      </c>
      <c r="E10" s="189">
        <v>3561</v>
      </c>
      <c r="F10" s="583"/>
      <c r="G10" s="74">
        <f aca="true" t="shared" si="2" ref="G10:G40">D10+E10-F10</f>
        <v>17046</v>
      </c>
      <c r="H10" s="65"/>
      <c r="I10" s="65"/>
      <c r="J10" s="74">
        <f aca="true" t="shared" si="3" ref="J10:J16">G10</f>
        <v>17046</v>
      </c>
      <c r="K10" s="65">
        <v>3065</v>
      </c>
      <c r="L10" s="65">
        <v>210</v>
      </c>
      <c r="M10" s="65"/>
      <c r="N10" s="74">
        <f aca="true" t="shared" si="4" ref="N10:N40">K10+L10-M10</f>
        <v>3275</v>
      </c>
      <c r="O10" s="65"/>
      <c r="P10" s="65"/>
      <c r="Q10" s="74">
        <f t="shared" si="0"/>
        <v>3275</v>
      </c>
      <c r="R10" s="586">
        <f t="shared" si="1"/>
        <v>13771</v>
      </c>
      <c r="X10" s="22"/>
    </row>
    <row r="11" spans="1:22" s="577" customFormat="1" ht="20.25" customHeight="1">
      <c r="A11" s="576" t="s">
        <v>550</v>
      </c>
      <c r="B11" s="576" t="s">
        <v>551</v>
      </c>
      <c r="C11" s="580" t="s">
        <v>552</v>
      </c>
      <c r="D11" s="583">
        <v>47409</v>
      </c>
      <c r="E11" s="583">
        <v>3652</v>
      </c>
      <c r="F11" s="583">
        <v>1689</v>
      </c>
      <c r="G11" s="74">
        <f>D11+E11-F11</f>
        <v>49372</v>
      </c>
      <c r="H11" s="65"/>
      <c r="I11" s="65"/>
      <c r="J11" s="74">
        <f t="shared" si="3"/>
        <v>49372</v>
      </c>
      <c r="K11" s="65">
        <v>14794</v>
      </c>
      <c r="L11" s="65">
        <v>1062</v>
      </c>
      <c r="M11" s="65">
        <v>1359</v>
      </c>
      <c r="N11" s="74">
        <f t="shared" si="4"/>
        <v>14497</v>
      </c>
      <c r="O11" s="65"/>
      <c r="P11" s="65"/>
      <c r="Q11" s="74">
        <f t="shared" si="0"/>
        <v>14497</v>
      </c>
      <c r="R11" s="586">
        <f t="shared" si="1"/>
        <v>34875</v>
      </c>
      <c r="V11" s="22"/>
    </row>
    <row r="12" spans="1:24" ht="12">
      <c r="A12" s="366" t="s">
        <v>553</v>
      </c>
      <c r="B12" s="366" t="s">
        <v>554</v>
      </c>
      <c r="C12" s="367" t="s">
        <v>555</v>
      </c>
      <c r="D12" s="583">
        <v>0</v>
      </c>
      <c r="E12" s="189"/>
      <c r="F12" s="583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586">
        <f t="shared" si="1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583">
        <v>7051</v>
      </c>
      <c r="E13" s="189">
        <v>583</v>
      </c>
      <c r="F13" s="583">
        <v>80</v>
      </c>
      <c r="G13" s="74">
        <f t="shared" si="2"/>
        <v>7554</v>
      </c>
      <c r="H13" s="65"/>
      <c r="I13" s="65"/>
      <c r="J13" s="74">
        <f t="shared" si="3"/>
        <v>7554</v>
      </c>
      <c r="K13" s="65">
        <v>4176</v>
      </c>
      <c r="L13" s="65">
        <v>236</v>
      </c>
      <c r="M13" s="65">
        <v>71</v>
      </c>
      <c r="N13" s="74">
        <f t="shared" si="4"/>
        <v>4341</v>
      </c>
      <c r="O13" s="65"/>
      <c r="P13" s="65"/>
      <c r="Q13" s="74">
        <f t="shared" si="0"/>
        <v>4341</v>
      </c>
      <c r="R13" s="586">
        <f t="shared" si="1"/>
        <v>3213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583">
        <v>1130</v>
      </c>
      <c r="E14" s="189">
        <v>73</v>
      </c>
      <c r="F14" s="583">
        <v>1</v>
      </c>
      <c r="G14" s="74">
        <f>D14+E14-F14</f>
        <v>1202</v>
      </c>
      <c r="H14" s="65"/>
      <c r="I14" s="65"/>
      <c r="J14" s="74">
        <f t="shared" si="3"/>
        <v>1202</v>
      </c>
      <c r="K14" s="65">
        <v>595</v>
      </c>
      <c r="L14" s="65">
        <v>63</v>
      </c>
      <c r="M14" s="65">
        <v>1</v>
      </c>
      <c r="N14" s="74">
        <f t="shared" si="4"/>
        <v>657</v>
      </c>
      <c r="O14" s="65"/>
      <c r="P14" s="65"/>
      <c r="Q14" s="74">
        <f t="shared" si="0"/>
        <v>657</v>
      </c>
      <c r="R14" s="586">
        <f t="shared" si="1"/>
        <v>545</v>
      </c>
      <c r="X14" s="22"/>
    </row>
    <row r="15" spans="1:24" ht="18.75" customHeight="1">
      <c r="A15" s="366"/>
      <c r="B15" s="366"/>
      <c r="C15" s="367"/>
      <c r="D15" s="583"/>
      <c r="E15" s="189"/>
      <c r="F15" s="583"/>
      <c r="G15" s="74"/>
      <c r="H15" s="65"/>
      <c r="I15" s="65"/>
      <c r="J15" s="74"/>
      <c r="K15" s="65"/>
      <c r="L15" s="65"/>
      <c r="M15" s="65"/>
      <c r="N15" s="74"/>
      <c r="O15" s="65"/>
      <c r="P15" s="65"/>
      <c r="Q15" s="74"/>
      <c r="R15" s="586"/>
      <c r="X15" s="22"/>
    </row>
    <row r="16" spans="1:22" s="528" customFormat="1" ht="25.5" customHeight="1">
      <c r="A16" s="454" t="s">
        <v>859</v>
      </c>
      <c r="B16" s="374" t="s">
        <v>860</v>
      </c>
      <c r="C16" s="455" t="s">
        <v>861</v>
      </c>
      <c r="D16" s="584">
        <v>823</v>
      </c>
      <c r="E16" s="456">
        <v>1436</v>
      </c>
      <c r="F16" s="584">
        <v>1705</v>
      </c>
      <c r="G16" s="74">
        <f t="shared" si="2"/>
        <v>554</v>
      </c>
      <c r="H16" s="457"/>
      <c r="I16" s="457"/>
      <c r="J16" s="74">
        <f t="shared" si="3"/>
        <v>554</v>
      </c>
      <c r="K16" s="457">
        <v>0</v>
      </c>
      <c r="L16" s="457"/>
      <c r="M16" s="457"/>
      <c r="N16" s="74">
        <f t="shared" si="4"/>
        <v>0</v>
      </c>
      <c r="O16" s="457"/>
      <c r="P16" s="457"/>
      <c r="Q16" s="74">
        <f t="shared" si="0"/>
        <v>0</v>
      </c>
      <c r="R16" s="586">
        <f t="shared" si="1"/>
        <v>554</v>
      </c>
      <c r="V16" s="22"/>
    </row>
    <row r="17" spans="1:24" ht="12">
      <c r="A17" s="366" t="s">
        <v>562</v>
      </c>
      <c r="B17" s="193" t="s">
        <v>563</v>
      </c>
      <c r="C17" s="367" t="s">
        <v>564</v>
      </c>
      <c r="D17" s="189">
        <v>15518</v>
      </c>
      <c r="E17" s="189">
        <v>11</v>
      </c>
      <c r="F17" s="583"/>
      <c r="G17" s="74">
        <f>D17+E17-F17</f>
        <v>15529</v>
      </c>
      <c r="H17" s="65"/>
      <c r="I17" s="65"/>
      <c r="J17" s="74">
        <f aca="true" t="shared" si="5" ref="J17:J40">G17+H17-I17</f>
        <v>15529</v>
      </c>
      <c r="K17" s="65">
        <v>4403</v>
      </c>
      <c r="L17" s="65">
        <v>2188</v>
      </c>
      <c r="M17" s="65"/>
      <c r="N17" s="74">
        <f t="shared" si="4"/>
        <v>6591</v>
      </c>
      <c r="O17" s="65"/>
      <c r="P17" s="65"/>
      <c r="Q17" s="74">
        <f t="shared" si="0"/>
        <v>6591</v>
      </c>
      <c r="R17" s="586">
        <f t="shared" si="1"/>
        <v>8938</v>
      </c>
      <c r="X17" s="22"/>
    </row>
    <row r="18" spans="1:24" ht="12">
      <c r="A18" s="366"/>
      <c r="B18" s="368" t="s">
        <v>565</v>
      </c>
      <c r="C18" s="369" t="s">
        <v>566</v>
      </c>
      <c r="D18" s="194">
        <f aca="true" t="shared" si="6" ref="D18:I18">SUM(D9:D17)</f>
        <v>109970</v>
      </c>
      <c r="E18" s="589">
        <f t="shared" si="6"/>
        <v>10203</v>
      </c>
      <c r="F18" s="589">
        <f t="shared" si="6"/>
        <v>3475</v>
      </c>
      <c r="G18" s="74">
        <f t="shared" si="6"/>
        <v>116698</v>
      </c>
      <c r="H18" s="75">
        <f t="shared" si="6"/>
        <v>0</v>
      </c>
      <c r="I18" s="75">
        <f t="shared" si="6"/>
        <v>0</v>
      </c>
      <c r="J18" s="74">
        <f t="shared" si="5"/>
        <v>116698</v>
      </c>
      <c r="K18" s="75">
        <f>SUM(K9:K17)</f>
        <v>27033</v>
      </c>
      <c r="L18" s="588">
        <f>SUM(L10:L17)</f>
        <v>3759</v>
      </c>
      <c r="M18" s="75">
        <f>SUM(M9:M17)</f>
        <v>1431</v>
      </c>
      <c r="N18" s="74">
        <f t="shared" si="4"/>
        <v>29361</v>
      </c>
      <c r="O18" s="75">
        <f>SUM(O9:O17)</f>
        <v>0</v>
      </c>
      <c r="P18" s="75">
        <f>SUM(P9:P17)</f>
        <v>0</v>
      </c>
      <c r="Q18" s="74">
        <f t="shared" si="0"/>
        <v>29361</v>
      </c>
      <c r="R18" s="586">
        <f t="shared" si="1"/>
        <v>87337</v>
      </c>
      <c r="T18" s="100"/>
      <c r="X18" s="22"/>
    </row>
    <row r="19" spans="1:24" ht="12">
      <c r="A19" s="370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5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0"/>
        <v>0</v>
      </c>
      <c r="R19" s="586">
        <f t="shared" si="1"/>
        <v>0</v>
      </c>
      <c r="X19" s="22"/>
    </row>
    <row r="20" spans="1:24" ht="12" customHeight="1">
      <c r="A20" s="372" t="s">
        <v>570</v>
      </c>
      <c r="B20" s="371" t="s">
        <v>571</v>
      </c>
      <c r="C20" s="369" t="s">
        <v>572</v>
      </c>
      <c r="D20" s="187">
        <v>1058</v>
      </c>
      <c r="E20" s="187"/>
      <c r="F20" s="187"/>
      <c r="G20" s="74">
        <f t="shared" si="2"/>
        <v>1058</v>
      </c>
      <c r="H20" s="63"/>
      <c r="I20" s="63"/>
      <c r="J20" s="74">
        <f t="shared" si="5"/>
        <v>1058</v>
      </c>
      <c r="K20" s="63">
        <v>157</v>
      </c>
      <c r="L20" s="63">
        <v>15</v>
      </c>
      <c r="M20" s="63"/>
      <c r="N20" s="74">
        <f t="shared" si="4"/>
        <v>172</v>
      </c>
      <c r="O20" s="63"/>
      <c r="P20" s="63"/>
      <c r="Q20" s="74">
        <f t="shared" si="0"/>
        <v>172</v>
      </c>
      <c r="R20" s="586">
        <f t="shared" si="1"/>
        <v>886</v>
      </c>
      <c r="X20" s="22"/>
    </row>
    <row r="21" spans="1:24" ht="12" customHeight="1">
      <c r="A21" s="373" t="s">
        <v>573</v>
      </c>
      <c r="B21" s="363" t="s">
        <v>574</v>
      </c>
      <c r="C21" s="367"/>
      <c r="D21" s="188"/>
      <c r="E21" s="188"/>
      <c r="F21" s="188"/>
      <c r="G21" s="74">
        <f t="shared" si="2"/>
        <v>0</v>
      </c>
      <c r="H21" s="64"/>
      <c r="I21" s="64"/>
      <c r="J21" s="74">
        <f t="shared" si="5"/>
        <v>0</v>
      </c>
      <c r="K21" s="64"/>
      <c r="L21" s="64"/>
      <c r="M21" s="64"/>
      <c r="N21" s="74">
        <f t="shared" si="4"/>
        <v>0</v>
      </c>
      <c r="O21" s="64"/>
      <c r="P21" s="64"/>
      <c r="Q21" s="74">
        <f t="shared" si="0"/>
        <v>0</v>
      </c>
      <c r="R21" s="586">
        <f t="shared" si="1"/>
        <v>0</v>
      </c>
      <c r="S21" s="577"/>
      <c r="T21" s="577"/>
      <c r="X21" s="22"/>
    </row>
    <row r="22" spans="1:24" ht="19.5" customHeight="1">
      <c r="A22" s="366" t="s">
        <v>544</v>
      </c>
      <c r="B22" s="366" t="s">
        <v>867</v>
      </c>
      <c r="C22" s="367" t="s">
        <v>575</v>
      </c>
      <c r="D22" s="189">
        <v>590</v>
      </c>
      <c r="E22" s="189">
        <v>12</v>
      </c>
      <c r="F22" s="189">
        <v>1</v>
      </c>
      <c r="G22" s="74">
        <f t="shared" si="2"/>
        <v>601</v>
      </c>
      <c r="H22" s="65"/>
      <c r="I22" s="65"/>
      <c r="J22" s="74">
        <f t="shared" si="5"/>
        <v>601</v>
      </c>
      <c r="K22" s="65">
        <v>51</v>
      </c>
      <c r="L22" s="65">
        <v>44</v>
      </c>
      <c r="M22" s="65"/>
      <c r="N22" s="74">
        <f t="shared" si="4"/>
        <v>95</v>
      </c>
      <c r="O22" s="65"/>
      <c r="P22" s="65"/>
      <c r="Q22" s="74">
        <f t="shared" si="0"/>
        <v>95</v>
      </c>
      <c r="R22" s="586">
        <f t="shared" si="1"/>
        <v>506</v>
      </c>
      <c r="S22" s="577"/>
      <c r="T22" s="590"/>
      <c r="X22" s="22"/>
    </row>
    <row r="23" spans="1:24" ht="18.75" customHeight="1">
      <c r="A23" s="366" t="s">
        <v>547</v>
      </c>
      <c r="B23" s="576" t="s">
        <v>576</v>
      </c>
      <c r="C23" s="580" t="s">
        <v>577</v>
      </c>
      <c r="D23" s="189">
        <v>170</v>
      </c>
      <c r="E23" s="189"/>
      <c r="F23" s="189"/>
      <c r="G23" s="74">
        <f t="shared" si="2"/>
        <v>170</v>
      </c>
      <c r="H23" s="65"/>
      <c r="I23" s="65"/>
      <c r="J23" s="74">
        <f t="shared" si="5"/>
        <v>170</v>
      </c>
      <c r="K23" s="591">
        <v>70</v>
      </c>
      <c r="L23" s="65">
        <v>10</v>
      </c>
      <c r="M23" s="65"/>
      <c r="N23" s="74">
        <f t="shared" si="4"/>
        <v>80</v>
      </c>
      <c r="O23" s="65"/>
      <c r="P23" s="65"/>
      <c r="Q23" s="74">
        <f t="shared" si="0"/>
        <v>80</v>
      </c>
      <c r="R23" s="586">
        <f t="shared" si="1"/>
        <v>90</v>
      </c>
      <c r="S23" s="577"/>
      <c r="T23" s="590"/>
      <c r="X23" s="22"/>
    </row>
    <row r="24" spans="1:24" ht="15" customHeight="1">
      <c r="A24" s="374" t="s">
        <v>550</v>
      </c>
      <c r="B24" s="592" t="s">
        <v>578</v>
      </c>
      <c r="C24" s="580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5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0"/>
        <v>0</v>
      </c>
      <c r="R24" s="586">
        <f t="shared" si="1"/>
        <v>0</v>
      </c>
      <c r="S24" s="577"/>
      <c r="T24" s="590"/>
      <c r="X24" s="22"/>
    </row>
    <row r="25" spans="1:24" ht="15.75" customHeight="1">
      <c r="A25" s="576" t="s">
        <v>553</v>
      </c>
      <c r="B25" s="581" t="s">
        <v>563</v>
      </c>
      <c r="C25" s="580" t="s">
        <v>580</v>
      </c>
      <c r="D25" s="189">
        <v>12</v>
      </c>
      <c r="E25" s="189">
        <v>427</v>
      </c>
      <c r="F25" s="189"/>
      <c r="G25" s="74">
        <f t="shared" si="2"/>
        <v>439</v>
      </c>
      <c r="H25" s="65"/>
      <c r="I25" s="65"/>
      <c r="J25" s="74">
        <f t="shared" si="5"/>
        <v>439</v>
      </c>
      <c r="K25" s="65">
        <v>9</v>
      </c>
      <c r="L25" s="65">
        <v>2</v>
      </c>
      <c r="M25" s="65"/>
      <c r="N25" s="74">
        <f t="shared" si="4"/>
        <v>11</v>
      </c>
      <c r="O25" s="65"/>
      <c r="P25" s="65"/>
      <c r="Q25" s="74">
        <f t="shared" si="0"/>
        <v>11</v>
      </c>
      <c r="R25" s="586">
        <f t="shared" si="1"/>
        <v>428</v>
      </c>
      <c r="S25" s="577"/>
      <c r="T25" s="590"/>
      <c r="X25" s="22"/>
    </row>
    <row r="26" spans="1:24" ht="15" customHeight="1">
      <c r="A26" s="366"/>
      <c r="B26" s="368" t="s">
        <v>838</v>
      </c>
      <c r="C26" s="375" t="s">
        <v>582</v>
      </c>
      <c r="D26" s="190">
        <f>SUM(D22:D25)</f>
        <v>772</v>
      </c>
      <c r="E26" s="190">
        <f aca="true" t="shared" si="7" ref="E26:P26">SUM(E22:E25)</f>
        <v>439</v>
      </c>
      <c r="F26" s="190">
        <f t="shared" si="7"/>
        <v>1</v>
      </c>
      <c r="G26" s="67">
        <f t="shared" si="2"/>
        <v>1210</v>
      </c>
      <c r="H26" s="66">
        <f t="shared" si="7"/>
        <v>0</v>
      </c>
      <c r="I26" s="66">
        <f t="shared" si="7"/>
        <v>0</v>
      </c>
      <c r="J26" s="67">
        <f t="shared" si="5"/>
        <v>1210</v>
      </c>
      <c r="K26" s="66">
        <f t="shared" si="7"/>
        <v>130</v>
      </c>
      <c r="L26" s="66">
        <f t="shared" si="7"/>
        <v>56</v>
      </c>
      <c r="M26" s="66">
        <f t="shared" si="7"/>
        <v>0</v>
      </c>
      <c r="N26" s="67">
        <f t="shared" si="4"/>
        <v>186</v>
      </c>
      <c r="O26" s="66">
        <f t="shared" si="7"/>
        <v>0</v>
      </c>
      <c r="P26" s="66">
        <f t="shared" si="7"/>
        <v>0</v>
      </c>
      <c r="Q26" s="67">
        <f t="shared" si="0"/>
        <v>186</v>
      </c>
      <c r="R26" s="587">
        <f t="shared" si="1"/>
        <v>1024</v>
      </c>
      <c r="S26" s="577"/>
      <c r="T26" s="577"/>
      <c r="X26" s="22"/>
    </row>
    <row r="27" spans="1:24" ht="24" customHeight="1">
      <c r="A27" s="373" t="s">
        <v>583</v>
      </c>
      <c r="B27" s="376" t="s">
        <v>584</v>
      </c>
      <c r="C27" s="377"/>
      <c r="D27" s="191"/>
      <c r="E27" s="191"/>
      <c r="F27" s="191"/>
      <c r="G27" s="69"/>
      <c r="H27" s="68"/>
      <c r="I27" s="68"/>
      <c r="J27" s="69"/>
      <c r="K27" s="68"/>
      <c r="L27" s="575"/>
      <c r="M27" s="68"/>
      <c r="N27" s="69"/>
      <c r="O27" s="68"/>
      <c r="P27" s="68"/>
      <c r="Q27" s="69"/>
      <c r="R27" s="381"/>
      <c r="S27" s="577"/>
      <c r="T27" s="577"/>
      <c r="X27" s="578"/>
    </row>
    <row r="28" spans="1:24" ht="15.75">
      <c r="A28" s="366" t="s">
        <v>544</v>
      </c>
      <c r="B28" s="378" t="s">
        <v>853</v>
      </c>
      <c r="C28" s="379" t="s">
        <v>585</v>
      </c>
      <c r="D28" s="192">
        <f>SUM(D29:D32)</f>
        <v>0</v>
      </c>
      <c r="E28" s="192">
        <f aca="true" t="shared" si="8" ref="E28:P28">SUM(E29:E32)</f>
        <v>0</v>
      </c>
      <c r="F28" s="192">
        <f t="shared" si="8"/>
        <v>0</v>
      </c>
      <c r="G28" s="71">
        <f t="shared" si="2"/>
        <v>0</v>
      </c>
      <c r="H28" s="70">
        <f t="shared" si="8"/>
        <v>0</v>
      </c>
      <c r="I28" s="70">
        <f t="shared" si="8"/>
        <v>0</v>
      </c>
      <c r="J28" s="71">
        <f t="shared" si="5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1">
        <f t="shared" si="4"/>
        <v>0</v>
      </c>
      <c r="O28" s="70">
        <f t="shared" si="8"/>
        <v>0</v>
      </c>
      <c r="P28" s="70">
        <f t="shared" si="8"/>
        <v>0</v>
      </c>
      <c r="Q28" s="71">
        <f>N28+O28-P28</f>
        <v>0</v>
      </c>
      <c r="R28" s="71">
        <f>J28-Q28</f>
        <v>0</v>
      </c>
      <c r="S28" s="577"/>
      <c r="T28" s="577"/>
      <c r="X28" s="578"/>
    </row>
    <row r="29" spans="1:18" ht="21" customHeight="1">
      <c r="A29" s="366"/>
      <c r="B29" s="366" t="s">
        <v>106</v>
      </c>
      <c r="C29" s="367" t="s">
        <v>586</v>
      </c>
      <c r="D29" s="189"/>
      <c r="E29" s="189"/>
      <c r="F29" s="189"/>
      <c r="G29" s="74">
        <f t="shared" si="2"/>
        <v>0</v>
      </c>
      <c r="H29" s="65"/>
      <c r="I29" s="65"/>
      <c r="J29" s="74">
        <f t="shared" si="5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aca="true" t="shared" si="9" ref="Q29:Q40">N29+O29-P29</f>
        <v>0</v>
      </c>
      <c r="R29" s="74">
        <f aca="true" t="shared" si="10" ref="R29:R40">J29-Q29</f>
        <v>0</v>
      </c>
    </row>
    <row r="30" spans="1:18" ht="12">
      <c r="A30" s="366"/>
      <c r="B30" s="366" t="s">
        <v>108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5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</row>
    <row r="31" spans="1:18" ht="12">
      <c r="A31" s="366"/>
      <c r="B31" s="366" t="s">
        <v>112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5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</row>
    <row r="32" spans="1:18" ht="12">
      <c r="A32" s="366"/>
      <c r="B32" s="366" t="s">
        <v>114</v>
      </c>
      <c r="C32" s="367" t="s">
        <v>589</v>
      </c>
      <c r="D32" s="189"/>
      <c r="E32" s="189"/>
      <c r="F32" s="189"/>
      <c r="G32" s="74">
        <f t="shared" si="2"/>
        <v>0</v>
      </c>
      <c r="H32" s="72"/>
      <c r="I32" s="72"/>
      <c r="J32" s="74">
        <f t="shared" si="5"/>
        <v>0</v>
      </c>
      <c r="K32" s="72"/>
      <c r="L32" s="72"/>
      <c r="M32" s="72"/>
      <c r="N32" s="74">
        <f t="shared" si="4"/>
        <v>0</v>
      </c>
      <c r="O32" s="72"/>
      <c r="P32" s="72"/>
      <c r="Q32" s="74">
        <f t="shared" si="9"/>
        <v>0</v>
      </c>
      <c r="R32" s="74">
        <f t="shared" si="10"/>
        <v>0</v>
      </c>
    </row>
    <row r="33" spans="1:18" ht="12">
      <c r="A33" s="366" t="s">
        <v>547</v>
      </c>
      <c r="B33" s="378" t="s">
        <v>590</v>
      </c>
      <c r="C33" s="367" t="s">
        <v>591</v>
      </c>
      <c r="D33" s="193">
        <f>SUM(D34:D37)</f>
        <v>0</v>
      </c>
      <c r="E33" s="193">
        <f aca="true" t="shared" si="11" ref="E33:P33">SUM(E34:E37)</f>
        <v>0</v>
      </c>
      <c r="F33" s="193">
        <f t="shared" si="11"/>
        <v>0</v>
      </c>
      <c r="G33" s="74">
        <f t="shared" si="2"/>
        <v>0</v>
      </c>
      <c r="H33" s="73">
        <f t="shared" si="11"/>
        <v>0</v>
      </c>
      <c r="I33" s="73">
        <f t="shared" si="11"/>
        <v>0</v>
      </c>
      <c r="J33" s="74">
        <f t="shared" si="5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4">
        <f t="shared" si="4"/>
        <v>0</v>
      </c>
      <c r="O33" s="73">
        <f t="shared" si="11"/>
        <v>0</v>
      </c>
      <c r="P33" s="73">
        <f t="shared" si="11"/>
        <v>0</v>
      </c>
      <c r="Q33" s="74">
        <f t="shared" si="9"/>
        <v>0</v>
      </c>
      <c r="R33" s="74">
        <f t="shared" si="10"/>
        <v>0</v>
      </c>
    </row>
    <row r="34" spans="1:18" ht="12">
      <c r="A34" s="366"/>
      <c r="B34" s="380" t="s">
        <v>120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5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</row>
    <row r="35" spans="1:18" ht="12">
      <c r="A35" s="366"/>
      <c r="B35" s="380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5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</row>
    <row r="36" spans="1:18" ht="12">
      <c r="A36" s="366"/>
      <c r="B36" s="380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5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</row>
    <row r="37" spans="1:18" ht="24">
      <c r="A37" s="366"/>
      <c r="B37" s="380" t="s">
        <v>597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5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</row>
    <row r="38" spans="1:18" ht="12">
      <c r="A38" s="366" t="s">
        <v>550</v>
      </c>
      <c r="B38" s="380" t="s">
        <v>563</v>
      </c>
      <c r="C38" s="367" t="s">
        <v>599</v>
      </c>
      <c r="D38" s="189"/>
      <c r="E38" s="189"/>
      <c r="F38" s="189"/>
      <c r="G38" s="74">
        <f t="shared" si="2"/>
        <v>0</v>
      </c>
      <c r="H38" s="72"/>
      <c r="I38" s="72"/>
      <c r="J38" s="74">
        <f t="shared" si="5"/>
        <v>0</v>
      </c>
      <c r="K38" s="72"/>
      <c r="L38" s="72"/>
      <c r="M38" s="72"/>
      <c r="N38" s="74">
        <f t="shared" si="4"/>
        <v>0</v>
      </c>
      <c r="O38" s="72"/>
      <c r="P38" s="72"/>
      <c r="Q38" s="74">
        <f t="shared" si="9"/>
        <v>0</v>
      </c>
      <c r="R38" s="74">
        <f t="shared" si="10"/>
        <v>0</v>
      </c>
    </row>
    <row r="39" spans="1:18" ht="12">
      <c r="A39" s="366"/>
      <c r="B39" s="368" t="s">
        <v>854</v>
      </c>
      <c r="C39" s="369" t="s">
        <v>601</v>
      </c>
      <c r="D39" s="194">
        <f>D28+D33+D38</f>
        <v>0</v>
      </c>
      <c r="E39" s="194">
        <f aca="true" t="shared" si="12" ref="E39:P39">E28+E33+E38</f>
        <v>0</v>
      </c>
      <c r="F39" s="194">
        <f t="shared" si="12"/>
        <v>0</v>
      </c>
      <c r="G39" s="74">
        <f t="shared" si="2"/>
        <v>0</v>
      </c>
      <c r="H39" s="75">
        <f t="shared" si="12"/>
        <v>0</v>
      </c>
      <c r="I39" s="75">
        <f t="shared" si="12"/>
        <v>0</v>
      </c>
      <c r="J39" s="74">
        <f t="shared" si="5"/>
        <v>0</v>
      </c>
      <c r="K39" s="75">
        <f t="shared" si="12"/>
        <v>0</v>
      </c>
      <c r="L39" s="75">
        <f t="shared" si="12"/>
        <v>0</v>
      </c>
      <c r="M39" s="75">
        <f t="shared" si="12"/>
        <v>0</v>
      </c>
      <c r="N39" s="74">
        <f t="shared" si="4"/>
        <v>0</v>
      </c>
      <c r="O39" s="75">
        <f t="shared" si="12"/>
        <v>0</v>
      </c>
      <c r="P39" s="75">
        <f t="shared" si="12"/>
        <v>0</v>
      </c>
      <c r="Q39" s="74">
        <f t="shared" si="9"/>
        <v>0</v>
      </c>
      <c r="R39" s="74">
        <f t="shared" si="10"/>
        <v>0</v>
      </c>
    </row>
    <row r="40" spans="1:24" s="571" customFormat="1" ht="12">
      <c r="A40" s="370" t="s">
        <v>602</v>
      </c>
      <c r="B40" s="370" t="s">
        <v>603</v>
      </c>
      <c r="C40" s="369" t="s">
        <v>604</v>
      </c>
      <c r="D40" s="570"/>
      <c r="E40" s="570"/>
      <c r="F40" s="570"/>
      <c r="G40" s="74">
        <f t="shared" si="2"/>
        <v>0</v>
      </c>
      <c r="H40" s="570"/>
      <c r="I40" s="570"/>
      <c r="J40" s="74">
        <f t="shared" si="5"/>
        <v>0</v>
      </c>
      <c r="K40" s="570"/>
      <c r="L40" s="570"/>
      <c r="M40" s="570"/>
      <c r="N40" s="74">
        <f t="shared" si="4"/>
        <v>0</v>
      </c>
      <c r="O40" s="570"/>
      <c r="P40" s="570"/>
      <c r="Q40" s="74">
        <f t="shared" si="9"/>
        <v>0</v>
      </c>
      <c r="R40" s="74">
        <f t="shared" si="10"/>
        <v>0</v>
      </c>
      <c r="X40" s="579"/>
    </row>
    <row r="41" spans="1:18" ht="12">
      <c r="A41" s="366"/>
      <c r="B41" s="370" t="s">
        <v>605</v>
      </c>
      <c r="C41" s="359" t="s">
        <v>606</v>
      </c>
      <c r="D41" s="437">
        <f>D18+D19+D20+D26+D39+D40</f>
        <v>111800</v>
      </c>
      <c r="E41" s="437">
        <f>E18+E19+E20+E26+E39+E40</f>
        <v>10642</v>
      </c>
      <c r="F41" s="437">
        <f aca="true" t="shared" si="13" ref="F41:R41">F18+F19+F20+F26+F39+F40</f>
        <v>3476</v>
      </c>
      <c r="G41" s="437">
        <f t="shared" si="13"/>
        <v>118966</v>
      </c>
      <c r="H41" s="437">
        <f t="shared" si="13"/>
        <v>0</v>
      </c>
      <c r="I41" s="437">
        <f t="shared" si="13"/>
        <v>0</v>
      </c>
      <c r="J41" s="437">
        <f t="shared" si="13"/>
        <v>118966</v>
      </c>
      <c r="K41" s="437">
        <f t="shared" si="13"/>
        <v>27320</v>
      </c>
      <c r="L41" s="437">
        <f t="shared" si="13"/>
        <v>3830</v>
      </c>
      <c r="M41" s="437">
        <f t="shared" si="13"/>
        <v>1431</v>
      </c>
      <c r="N41" s="437">
        <f t="shared" si="13"/>
        <v>29719</v>
      </c>
      <c r="O41" s="437">
        <f t="shared" si="13"/>
        <v>0</v>
      </c>
      <c r="P41" s="437">
        <f t="shared" si="13"/>
        <v>0</v>
      </c>
      <c r="Q41" s="437">
        <f t="shared" si="13"/>
        <v>29719</v>
      </c>
      <c r="R41" s="437">
        <f t="shared" si="13"/>
        <v>89247</v>
      </c>
    </row>
    <row r="42" spans="1:18" ht="12">
      <c r="A42" s="351"/>
      <c r="B42" s="351"/>
      <c r="C42" s="351"/>
      <c r="D42" s="382"/>
      <c r="E42" s="382"/>
      <c r="F42" s="38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</row>
    <row r="43" spans="1:18" ht="12">
      <c r="A43" s="351"/>
      <c r="B43" s="351" t="s">
        <v>607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1"/>
      <c r="C44" s="351"/>
      <c r="D44" s="353"/>
      <c r="E44" s="353"/>
      <c r="F44" s="353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1"/>
      <c r="B45" s="574">
        <v>44012</v>
      </c>
      <c r="C45" s="354"/>
      <c r="D45" s="355"/>
      <c r="E45" s="355"/>
      <c r="F45" s="355"/>
      <c r="G45" s="351"/>
      <c r="H45" s="356" t="s">
        <v>608</v>
      </c>
      <c r="I45" s="356"/>
      <c r="J45" s="356"/>
      <c r="K45" s="628"/>
      <c r="L45" s="628"/>
      <c r="M45" s="628"/>
      <c r="N45" s="628"/>
      <c r="O45" s="617" t="s">
        <v>781</v>
      </c>
      <c r="P45" s="618"/>
      <c r="Q45" s="618"/>
      <c r="R45" s="618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 t="s">
        <v>779</v>
      </c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 ht="12">
      <c r="A51" s="349"/>
      <c r="B51" s="349"/>
      <c r="C51" s="349"/>
      <c r="D51" s="529"/>
      <c r="E51" s="529"/>
      <c r="F51" s="52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4:6" ht="12">
      <c r="D68" s="528"/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  <row r="233" spans="5:6" ht="12">
      <c r="E233" s="528"/>
      <c r="F233" s="528"/>
    </row>
  </sheetData>
  <sheetProtection/>
  <mergeCells count="12">
    <mergeCell ref="C5:C6"/>
    <mergeCell ref="K45:N45"/>
    <mergeCell ref="A2:B2"/>
    <mergeCell ref="C2:H2"/>
    <mergeCell ref="A3:B3"/>
    <mergeCell ref="C3:E3"/>
    <mergeCell ref="O45:R45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O9:P17 K9:M17 H9:I17 D9:F17 O34:P38 K34:M38 H34:I38 D34:F38 O29:P32 K29:M32 H29:I32 D29:F32 O22:P25 K22:M25 H22:I25 D22:F25 O19:P20 K19:M20 H19:I2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O40:P40 K40:M40 H40:I40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8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9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35" t="str">
        <f>'справка №1-БАЛАНС'!E3</f>
        <v>БГ  АГРО  АД</v>
      </c>
      <c r="C3" s="636"/>
      <c r="D3" s="525" t="s">
        <v>2</v>
      </c>
      <c r="E3" s="107">
        <f>'справка №1-БАЛАНС'!H3</f>
        <v>0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33">
        <f>'справка №1-БАЛАНС'!E5</f>
        <v>44012</v>
      </c>
      <c r="C4" s="634"/>
      <c r="D4" s="526" t="s">
        <v>4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8" t="s">
        <v>464</v>
      </c>
      <c r="B6" s="389" t="s">
        <v>8</v>
      </c>
      <c r="C6" s="390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616</v>
      </c>
      <c r="B9" s="393" t="s">
        <v>617</v>
      </c>
      <c r="C9" s="108"/>
      <c r="D9" s="108"/>
      <c r="E9" s="120">
        <f>C9-D9</f>
        <v>0</v>
      </c>
      <c r="F9" s="106"/>
    </row>
    <row r="10" spans="1:6" ht="12">
      <c r="A10" s="392" t="s">
        <v>618</v>
      </c>
      <c r="B10" s="394"/>
      <c r="C10" s="104"/>
      <c r="D10" s="104"/>
      <c r="E10" s="120"/>
      <c r="F10" s="106"/>
    </row>
    <row r="11" spans="1:15" ht="12">
      <c r="A11" s="395" t="s">
        <v>619</v>
      </c>
      <c r="B11" s="396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621</v>
      </c>
      <c r="B12" s="396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623</v>
      </c>
      <c r="B13" s="396" t="s">
        <v>624</v>
      </c>
      <c r="C13" s="108"/>
      <c r="D13" s="108"/>
      <c r="E13" s="120">
        <f t="shared" si="0"/>
        <v>0</v>
      </c>
      <c r="F13" s="106"/>
    </row>
    <row r="14" spans="1:6" ht="12">
      <c r="A14" s="395" t="s">
        <v>625</v>
      </c>
      <c r="B14" s="396" t="s">
        <v>626</v>
      </c>
      <c r="C14" s="108"/>
      <c r="D14" s="108"/>
      <c r="E14" s="120">
        <f t="shared" si="0"/>
        <v>0</v>
      </c>
      <c r="F14" s="106"/>
    </row>
    <row r="15" spans="1:6" ht="12">
      <c r="A15" s="395" t="s">
        <v>627</v>
      </c>
      <c r="B15" s="396" t="s">
        <v>628</v>
      </c>
      <c r="C15" s="108">
        <v>2091</v>
      </c>
      <c r="D15" s="108"/>
      <c r="E15" s="120">
        <f t="shared" si="0"/>
        <v>2091</v>
      </c>
      <c r="F15" s="106"/>
    </row>
    <row r="16" spans="1:15" ht="12">
      <c r="A16" s="395" t="s">
        <v>629</v>
      </c>
      <c r="B16" s="396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631</v>
      </c>
      <c r="B17" s="396" t="s">
        <v>632</v>
      </c>
      <c r="C17" s="108"/>
      <c r="D17" s="108"/>
      <c r="E17" s="120">
        <f t="shared" si="0"/>
        <v>0</v>
      </c>
      <c r="F17" s="106"/>
    </row>
    <row r="18" spans="1:6" ht="12">
      <c r="A18" s="395" t="s">
        <v>625</v>
      </c>
      <c r="B18" s="396" t="s">
        <v>633</v>
      </c>
      <c r="C18" s="108"/>
      <c r="D18" s="108"/>
      <c r="E18" s="120">
        <f t="shared" si="0"/>
        <v>0</v>
      </c>
      <c r="F18" s="106"/>
    </row>
    <row r="19" spans="1:15" ht="12">
      <c r="A19" s="397" t="s">
        <v>634</v>
      </c>
      <c r="B19" s="393" t="s">
        <v>635</v>
      </c>
      <c r="C19" s="104">
        <f>C11+C15+C16</f>
        <v>2091</v>
      </c>
      <c r="D19" s="104">
        <f>D11+D15+D16</f>
        <v>0</v>
      </c>
      <c r="E19" s="118">
        <f>E11+E15+E16</f>
        <v>2091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636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637</v>
      </c>
      <c r="B21" s="393" t="s">
        <v>638</v>
      </c>
      <c r="C21" s="108">
        <v>106</v>
      </c>
      <c r="D21" s="108"/>
      <c r="E21" s="120">
        <f t="shared" si="0"/>
        <v>106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639</v>
      </c>
      <c r="B23" s="398"/>
      <c r="C23" s="119"/>
      <c r="D23" s="104"/>
      <c r="E23" s="120"/>
      <c r="F23" s="106"/>
    </row>
    <row r="24" spans="1:15" ht="12">
      <c r="A24" s="395" t="s">
        <v>640</v>
      </c>
      <c r="B24" s="396" t="s">
        <v>641</v>
      </c>
      <c r="C24" s="119">
        <f>SUM(C25:C27)</f>
        <v>287</v>
      </c>
      <c r="D24" s="119">
        <f>SUM(D25:D27)</f>
        <v>287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642</v>
      </c>
      <c r="B25" s="396" t="s">
        <v>643</v>
      </c>
      <c r="C25" s="108"/>
      <c r="D25" s="108"/>
      <c r="E25" s="120">
        <f t="shared" si="0"/>
        <v>0</v>
      </c>
      <c r="F25" s="106"/>
    </row>
    <row r="26" spans="1:6" ht="12">
      <c r="A26" s="395" t="s">
        <v>644</v>
      </c>
      <c r="B26" s="396" t="s">
        <v>645</v>
      </c>
      <c r="C26" s="108">
        <v>287</v>
      </c>
      <c r="D26" s="108">
        <v>287</v>
      </c>
      <c r="E26" s="120">
        <f t="shared" si="0"/>
        <v>0</v>
      </c>
      <c r="F26" s="106"/>
    </row>
    <row r="27" spans="1:6" ht="12">
      <c r="A27" s="395" t="s">
        <v>646</v>
      </c>
      <c r="B27" s="396" t="s">
        <v>647</v>
      </c>
      <c r="C27" s="108"/>
      <c r="D27" s="108"/>
      <c r="E27" s="120">
        <f t="shared" si="0"/>
        <v>0</v>
      </c>
      <c r="F27" s="106"/>
    </row>
    <row r="28" spans="1:6" ht="12">
      <c r="A28" s="395" t="s">
        <v>648</v>
      </c>
      <c r="B28" s="396" t="s">
        <v>649</v>
      </c>
      <c r="C28" s="108">
        <v>11402</v>
      </c>
      <c r="D28" s="108">
        <v>11402</v>
      </c>
      <c r="E28" s="120">
        <f t="shared" si="0"/>
        <v>0</v>
      </c>
      <c r="F28" s="106"/>
    </row>
    <row r="29" spans="1:6" ht="12">
      <c r="A29" s="395" t="s">
        <v>650</v>
      </c>
      <c r="B29" s="396" t="s">
        <v>651</v>
      </c>
      <c r="C29" s="108">
        <v>11127</v>
      </c>
      <c r="D29" s="108">
        <v>11127</v>
      </c>
      <c r="E29" s="120">
        <f t="shared" si="0"/>
        <v>0</v>
      </c>
      <c r="F29" s="106"/>
    </row>
    <row r="30" spans="1:6" ht="12">
      <c r="A30" s="395" t="s">
        <v>652</v>
      </c>
      <c r="B30" s="396" t="s">
        <v>653</v>
      </c>
      <c r="C30" s="108">
        <v>583</v>
      </c>
      <c r="D30" s="108">
        <v>583</v>
      </c>
      <c r="E30" s="120">
        <f t="shared" si="0"/>
        <v>0</v>
      </c>
      <c r="F30" s="106"/>
    </row>
    <row r="31" spans="1:6" ht="12">
      <c r="A31" s="395" t="s">
        <v>654</v>
      </c>
      <c r="B31" s="396" t="s">
        <v>655</v>
      </c>
      <c r="C31" s="108">
        <v>75</v>
      </c>
      <c r="D31" s="108">
        <v>75</v>
      </c>
      <c r="E31" s="120">
        <f t="shared" si="0"/>
        <v>0</v>
      </c>
      <c r="F31" s="106"/>
    </row>
    <row r="32" spans="1:6" ht="12">
      <c r="A32" s="395" t="s">
        <v>656</v>
      </c>
      <c r="B32" s="396" t="s">
        <v>657</v>
      </c>
      <c r="C32" s="108"/>
      <c r="D32" s="108"/>
      <c r="E32" s="120">
        <f t="shared" si="0"/>
        <v>0</v>
      </c>
      <c r="F32" s="106"/>
    </row>
    <row r="33" spans="1:15" ht="12">
      <c r="A33" s="395" t="s">
        <v>658</v>
      </c>
      <c r="B33" s="396" t="s">
        <v>659</v>
      </c>
      <c r="C33" s="105">
        <f>SUM(C34:C37)</f>
        <v>734</v>
      </c>
      <c r="D33" s="105">
        <f>SUM(D34:D37)</f>
        <v>734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660</v>
      </c>
      <c r="B34" s="396" t="s">
        <v>661</v>
      </c>
      <c r="C34" s="108"/>
      <c r="D34" s="108"/>
      <c r="E34" s="120">
        <f t="shared" si="0"/>
        <v>0</v>
      </c>
      <c r="F34" s="106"/>
    </row>
    <row r="35" spans="1:6" ht="12">
      <c r="A35" s="395" t="s">
        <v>662</v>
      </c>
      <c r="B35" s="396" t="s">
        <v>663</v>
      </c>
      <c r="C35" s="108">
        <v>729</v>
      </c>
      <c r="D35" s="108">
        <v>729</v>
      </c>
      <c r="E35" s="120">
        <f t="shared" si="0"/>
        <v>0</v>
      </c>
      <c r="F35" s="106"/>
    </row>
    <row r="36" spans="1:6" ht="12">
      <c r="A36" s="395" t="s">
        <v>664</v>
      </c>
      <c r="B36" s="396" t="s">
        <v>665</v>
      </c>
      <c r="C36" s="108"/>
      <c r="D36" s="108"/>
      <c r="E36" s="120">
        <f t="shared" si="0"/>
        <v>0</v>
      </c>
      <c r="F36" s="106"/>
    </row>
    <row r="37" spans="1:6" ht="12">
      <c r="A37" s="395" t="s">
        <v>666</v>
      </c>
      <c r="B37" s="396" t="s">
        <v>667</v>
      </c>
      <c r="C37" s="108">
        <v>5</v>
      </c>
      <c r="D37" s="108">
        <v>5</v>
      </c>
      <c r="E37" s="120">
        <f t="shared" si="0"/>
        <v>0</v>
      </c>
      <c r="F37" s="106"/>
    </row>
    <row r="38" spans="1:15" ht="12">
      <c r="A38" s="395" t="s">
        <v>668</v>
      </c>
      <c r="B38" s="396" t="s">
        <v>669</v>
      </c>
      <c r="C38" s="119">
        <f>SUM(C39:C42)</f>
        <v>580</v>
      </c>
      <c r="D38" s="105">
        <f>SUM(D39:D42)</f>
        <v>580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670</v>
      </c>
      <c r="B39" s="396" t="s">
        <v>671</v>
      </c>
      <c r="C39" s="108"/>
      <c r="D39" s="108"/>
      <c r="E39" s="120">
        <f t="shared" si="0"/>
        <v>0</v>
      </c>
      <c r="F39" s="106"/>
    </row>
    <row r="40" spans="1:6" ht="12">
      <c r="A40" s="395" t="s">
        <v>672</v>
      </c>
      <c r="B40" s="396" t="s">
        <v>673</v>
      </c>
      <c r="C40" s="108"/>
      <c r="D40" s="108"/>
      <c r="E40" s="120">
        <f t="shared" si="0"/>
        <v>0</v>
      </c>
      <c r="F40" s="106"/>
    </row>
    <row r="41" spans="1:6" ht="12">
      <c r="A41" s="395" t="s">
        <v>674</v>
      </c>
      <c r="B41" s="396" t="s">
        <v>675</v>
      </c>
      <c r="C41" s="108"/>
      <c r="D41" s="108"/>
      <c r="E41" s="120">
        <f t="shared" si="0"/>
        <v>0</v>
      </c>
      <c r="F41" s="106"/>
    </row>
    <row r="42" spans="1:6" ht="12">
      <c r="A42" s="395" t="s">
        <v>676</v>
      </c>
      <c r="B42" s="396" t="s">
        <v>677</v>
      </c>
      <c r="C42" s="108">
        <v>580</v>
      </c>
      <c r="D42" s="108">
        <v>580</v>
      </c>
      <c r="E42" s="120">
        <f t="shared" si="0"/>
        <v>0</v>
      </c>
      <c r="F42" s="106"/>
    </row>
    <row r="43" spans="1:15" ht="12">
      <c r="A43" s="397" t="s">
        <v>678</v>
      </c>
      <c r="B43" s="393" t="s">
        <v>679</v>
      </c>
      <c r="C43" s="104">
        <f>C24+C28+C29+C31+C30+C32+C33+C38</f>
        <v>24788</v>
      </c>
      <c r="D43" s="104">
        <f>D24+D28+D29+D31+D30+D32+D33+D38</f>
        <v>24788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680</v>
      </c>
      <c r="B44" s="394" t="s">
        <v>681</v>
      </c>
      <c r="C44" s="103">
        <f>C43+C21+C19+C9</f>
        <v>26985</v>
      </c>
      <c r="D44" s="103">
        <f>D43+D21+D19+D9</f>
        <v>24788</v>
      </c>
      <c r="E44" s="118">
        <f>E43+E21+E19+E9</f>
        <v>2197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682</v>
      </c>
      <c r="B47" s="400"/>
      <c r="C47" s="402"/>
      <c r="D47" s="402"/>
      <c r="E47" s="402"/>
      <c r="F47" s="122" t="s">
        <v>276</v>
      </c>
    </row>
    <row r="48" spans="1:6" s="100" customFormat="1" ht="24">
      <c r="A48" s="388" t="s">
        <v>464</v>
      </c>
      <c r="B48" s="389" t="s">
        <v>8</v>
      </c>
      <c r="C48" s="403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8"/>
      <c r="B49" s="391"/>
      <c r="C49" s="403"/>
      <c r="D49" s="392" t="s">
        <v>614</v>
      </c>
      <c r="E49" s="392" t="s">
        <v>615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686</v>
      </c>
      <c r="B51" s="398"/>
      <c r="C51" s="103"/>
      <c r="D51" s="103"/>
      <c r="E51" s="103"/>
      <c r="F51" s="404"/>
    </row>
    <row r="52" spans="1:16" ht="24">
      <c r="A52" s="395" t="s">
        <v>687</v>
      </c>
      <c r="B52" s="396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689</v>
      </c>
      <c r="B53" s="396" t="s">
        <v>690</v>
      </c>
      <c r="C53" s="108"/>
      <c r="D53" s="108"/>
      <c r="E53" s="119">
        <f>C53-D53</f>
        <v>0</v>
      </c>
      <c r="F53" s="108"/>
    </row>
    <row r="54" spans="1:6" ht="12">
      <c r="A54" s="395" t="s">
        <v>691</v>
      </c>
      <c r="B54" s="396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676</v>
      </c>
      <c r="B55" s="396" t="s">
        <v>693</v>
      </c>
      <c r="C55" s="108"/>
      <c r="D55" s="108"/>
      <c r="E55" s="119">
        <f t="shared" si="1"/>
        <v>0</v>
      </c>
      <c r="F55" s="108"/>
    </row>
    <row r="56" spans="1:16" ht="24">
      <c r="A56" s="395" t="s">
        <v>694</v>
      </c>
      <c r="B56" s="396" t="s">
        <v>695</v>
      </c>
      <c r="C56" s="103">
        <f>C57+C59</f>
        <v>9924</v>
      </c>
      <c r="D56" s="103">
        <f>D57+D59</f>
        <v>0</v>
      </c>
      <c r="E56" s="119">
        <f t="shared" si="1"/>
        <v>9924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696</v>
      </c>
      <c r="B57" s="396" t="s">
        <v>697</v>
      </c>
      <c r="C57" s="108">
        <v>9924</v>
      </c>
      <c r="D57" s="108"/>
      <c r="E57" s="119">
        <f t="shared" si="1"/>
        <v>9924</v>
      </c>
      <c r="F57" s="108"/>
    </row>
    <row r="58" spans="1:6" ht="12">
      <c r="A58" s="405" t="s">
        <v>698</v>
      </c>
      <c r="B58" s="396" t="s">
        <v>699</v>
      </c>
      <c r="C58" s="109"/>
      <c r="D58" s="109"/>
      <c r="E58" s="119">
        <f t="shared" si="1"/>
        <v>0</v>
      </c>
      <c r="F58" s="109"/>
    </row>
    <row r="59" spans="1:6" ht="12">
      <c r="A59" s="405" t="s">
        <v>700</v>
      </c>
      <c r="B59" s="396" t="s">
        <v>701</v>
      </c>
      <c r="C59" s="108"/>
      <c r="D59" s="108"/>
      <c r="E59" s="119">
        <f t="shared" si="1"/>
        <v>0</v>
      </c>
      <c r="F59" s="108"/>
    </row>
    <row r="60" spans="1:6" ht="12">
      <c r="A60" s="405" t="s">
        <v>698</v>
      </c>
      <c r="B60" s="396" t="s">
        <v>702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703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704</v>
      </c>
      <c r="C62" s="108"/>
      <c r="D62" s="108"/>
      <c r="E62" s="119">
        <f t="shared" si="1"/>
        <v>0</v>
      </c>
      <c r="F62" s="110"/>
    </row>
    <row r="63" spans="1:6" ht="12">
      <c r="A63" s="395" t="s">
        <v>705</v>
      </c>
      <c r="B63" s="396" t="s">
        <v>706</v>
      </c>
      <c r="C63" s="108"/>
      <c r="D63" s="108"/>
      <c r="E63" s="119">
        <f t="shared" si="1"/>
        <v>0</v>
      </c>
      <c r="F63" s="110"/>
    </row>
    <row r="64" spans="1:6" ht="12">
      <c r="A64" s="395" t="s">
        <v>707</v>
      </c>
      <c r="B64" s="396" t="s">
        <v>708</v>
      </c>
      <c r="C64" s="108">
        <v>6833</v>
      </c>
      <c r="D64" s="108"/>
      <c r="E64" s="119">
        <f t="shared" si="1"/>
        <v>6833</v>
      </c>
      <c r="F64" s="110"/>
    </row>
    <row r="65" spans="1:6" ht="12">
      <c r="A65" s="395" t="s">
        <v>709</v>
      </c>
      <c r="B65" s="396" t="s">
        <v>710</v>
      </c>
      <c r="C65" s="109">
        <v>6781</v>
      </c>
      <c r="D65" s="109"/>
      <c r="E65" s="119">
        <f t="shared" si="1"/>
        <v>6781</v>
      </c>
      <c r="F65" s="111"/>
    </row>
    <row r="66" spans="1:16" ht="12">
      <c r="A66" s="397" t="s">
        <v>711</v>
      </c>
      <c r="B66" s="393" t="s">
        <v>712</v>
      </c>
      <c r="C66" s="103">
        <f>C52+C56+C61+C62+C63+C64</f>
        <v>16757</v>
      </c>
      <c r="D66" s="103">
        <f>D52+D56+D61+D62+D63+D64</f>
        <v>0</v>
      </c>
      <c r="E66" s="119">
        <f t="shared" si="1"/>
        <v>16757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713</v>
      </c>
      <c r="B67" s="394"/>
      <c r="C67" s="104"/>
      <c r="D67" s="104"/>
      <c r="E67" s="119"/>
      <c r="F67" s="112"/>
    </row>
    <row r="68" spans="1:6" ht="12">
      <c r="A68" s="395" t="s">
        <v>714</v>
      </c>
      <c r="B68" s="406" t="s">
        <v>715</v>
      </c>
      <c r="C68" s="108">
        <v>385</v>
      </c>
      <c r="D68" s="108"/>
      <c r="E68" s="119">
        <f t="shared" si="1"/>
        <v>385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716</v>
      </c>
      <c r="B70" s="398"/>
      <c r="C70" s="104"/>
      <c r="D70" s="104"/>
      <c r="E70" s="119"/>
      <c r="F70" s="112"/>
    </row>
    <row r="71" spans="1:16" ht="24">
      <c r="A71" s="395" t="s">
        <v>687</v>
      </c>
      <c r="B71" s="396" t="s">
        <v>717</v>
      </c>
      <c r="C71" s="105">
        <f>SUM(C72:C74)</f>
        <v>61</v>
      </c>
      <c r="D71" s="105">
        <f>SUM(D72:D74)</f>
        <v>61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718</v>
      </c>
      <c r="B72" s="396" t="s">
        <v>719</v>
      </c>
      <c r="C72" s="108">
        <v>61</v>
      </c>
      <c r="D72" s="108">
        <v>61</v>
      </c>
      <c r="E72" s="119">
        <f t="shared" si="1"/>
        <v>0</v>
      </c>
      <c r="F72" s="110"/>
    </row>
    <row r="73" spans="1:6" ht="12">
      <c r="A73" s="395" t="s">
        <v>720</v>
      </c>
      <c r="B73" s="396" t="s">
        <v>721</v>
      </c>
      <c r="C73" s="108"/>
      <c r="D73" s="108"/>
      <c r="E73" s="119">
        <f t="shared" si="1"/>
        <v>0</v>
      </c>
      <c r="F73" s="110"/>
    </row>
    <row r="74" spans="1:6" ht="12">
      <c r="A74" s="407" t="s">
        <v>722</v>
      </c>
      <c r="B74" s="396" t="s">
        <v>723</v>
      </c>
      <c r="C74" s="108"/>
      <c r="D74" s="108"/>
      <c r="E74" s="119">
        <f t="shared" si="1"/>
        <v>0</v>
      </c>
      <c r="F74" s="110"/>
    </row>
    <row r="75" spans="1:16" ht="24">
      <c r="A75" s="395" t="s">
        <v>694</v>
      </c>
      <c r="B75" s="396" t="s">
        <v>724</v>
      </c>
      <c r="C75" s="103">
        <f>C76+C78</f>
        <v>36714</v>
      </c>
      <c r="D75" s="103">
        <f>D76+D78</f>
        <v>36714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725</v>
      </c>
      <c r="B76" s="396" t="s">
        <v>726</v>
      </c>
      <c r="C76" s="108">
        <v>36714</v>
      </c>
      <c r="D76" s="108">
        <v>36714</v>
      </c>
      <c r="E76" s="119">
        <f t="shared" si="1"/>
        <v>0</v>
      </c>
      <c r="F76" s="108"/>
    </row>
    <row r="77" spans="1:6" ht="12">
      <c r="A77" s="395" t="s">
        <v>727</v>
      </c>
      <c r="B77" s="396" t="s">
        <v>728</v>
      </c>
      <c r="C77" s="109"/>
      <c r="D77" s="109"/>
      <c r="E77" s="119">
        <f t="shared" si="1"/>
        <v>0</v>
      </c>
      <c r="F77" s="109"/>
    </row>
    <row r="78" spans="1:6" ht="12">
      <c r="A78" s="395" t="s">
        <v>729</v>
      </c>
      <c r="B78" s="396" t="s">
        <v>730</v>
      </c>
      <c r="C78" s="108"/>
      <c r="D78" s="108"/>
      <c r="E78" s="119">
        <f t="shared" si="1"/>
        <v>0</v>
      </c>
      <c r="F78" s="108"/>
    </row>
    <row r="79" spans="1:6" ht="12">
      <c r="A79" s="395" t="s">
        <v>698</v>
      </c>
      <c r="B79" s="396" t="s">
        <v>731</v>
      </c>
      <c r="C79" s="109"/>
      <c r="D79" s="109"/>
      <c r="E79" s="119">
        <f t="shared" si="1"/>
        <v>0</v>
      </c>
      <c r="F79" s="109"/>
    </row>
    <row r="80" spans="1:16" ht="12">
      <c r="A80" s="395" t="s">
        <v>732</v>
      </c>
      <c r="B80" s="396" t="s">
        <v>733</v>
      </c>
      <c r="C80" s="103">
        <f>SUM(C81:C84)</f>
        <v>4358</v>
      </c>
      <c r="D80" s="103">
        <f>SUM(D81:D84)</f>
        <v>4358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734</v>
      </c>
      <c r="B81" s="396" t="s">
        <v>735</v>
      </c>
      <c r="C81" s="108"/>
      <c r="D81" s="108"/>
      <c r="E81" s="119">
        <f t="shared" si="1"/>
        <v>0</v>
      </c>
      <c r="F81" s="108"/>
    </row>
    <row r="82" spans="1:6" ht="12">
      <c r="A82" s="395" t="s">
        <v>736</v>
      </c>
      <c r="B82" s="396" t="s">
        <v>737</v>
      </c>
      <c r="C82" s="108"/>
      <c r="D82" s="108"/>
      <c r="E82" s="119">
        <f t="shared" si="1"/>
        <v>0</v>
      </c>
      <c r="F82" s="108"/>
    </row>
    <row r="83" spans="1:6" ht="24">
      <c r="A83" s="395" t="s">
        <v>738</v>
      </c>
      <c r="B83" s="396" t="s">
        <v>739</v>
      </c>
      <c r="C83" s="108"/>
      <c r="D83" s="108"/>
      <c r="E83" s="119">
        <f t="shared" si="1"/>
        <v>0</v>
      </c>
      <c r="F83" s="108"/>
    </row>
    <row r="84" spans="1:6" ht="12">
      <c r="A84" s="395" t="s">
        <v>740</v>
      </c>
      <c r="B84" s="396" t="s">
        <v>741</v>
      </c>
      <c r="C84" s="108">
        <v>4358</v>
      </c>
      <c r="D84" s="108">
        <v>4358</v>
      </c>
      <c r="E84" s="119">
        <f t="shared" si="1"/>
        <v>0</v>
      </c>
      <c r="F84" s="108"/>
    </row>
    <row r="85" spans="1:16" ht="12">
      <c r="A85" s="395" t="s">
        <v>742</v>
      </c>
      <c r="B85" s="396" t="s">
        <v>743</v>
      </c>
      <c r="C85" s="104">
        <f>SUM(C86:C90)+C94</f>
        <v>10641</v>
      </c>
      <c r="D85" s="104">
        <f>SUM(D86:D90)+D94</f>
        <v>10641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744</v>
      </c>
      <c r="B86" s="396" t="s">
        <v>745</v>
      </c>
      <c r="C86" s="108"/>
      <c r="D86" s="108"/>
      <c r="E86" s="119">
        <f t="shared" si="1"/>
        <v>0</v>
      </c>
      <c r="F86" s="108"/>
    </row>
    <row r="87" spans="1:6" ht="12">
      <c r="A87" s="395" t="s">
        <v>746</v>
      </c>
      <c r="B87" s="396" t="s">
        <v>747</v>
      </c>
      <c r="C87" s="108">
        <v>9804</v>
      </c>
      <c r="D87" s="108">
        <v>9804</v>
      </c>
      <c r="E87" s="119">
        <f t="shared" si="1"/>
        <v>0</v>
      </c>
      <c r="F87" s="108"/>
    </row>
    <row r="88" spans="1:6" ht="12">
      <c r="A88" s="395" t="s">
        <v>748</v>
      </c>
      <c r="B88" s="396" t="s">
        <v>749</v>
      </c>
      <c r="C88" s="108">
        <v>222</v>
      </c>
      <c r="D88" s="108">
        <v>222</v>
      </c>
      <c r="E88" s="119">
        <f t="shared" si="1"/>
        <v>0</v>
      </c>
      <c r="F88" s="108"/>
    </row>
    <row r="89" spans="1:6" ht="12">
      <c r="A89" s="395" t="s">
        <v>750</v>
      </c>
      <c r="B89" s="396" t="s">
        <v>751</v>
      </c>
      <c r="C89" s="108">
        <v>398</v>
      </c>
      <c r="D89" s="108">
        <v>398</v>
      </c>
      <c r="E89" s="119">
        <f t="shared" si="1"/>
        <v>0</v>
      </c>
      <c r="F89" s="108"/>
    </row>
    <row r="90" spans="1:16" ht="12">
      <c r="A90" s="395" t="s">
        <v>752</v>
      </c>
      <c r="B90" s="396" t="s">
        <v>753</v>
      </c>
      <c r="C90" s="103">
        <f>SUM(C91:C93)</f>
        <v>71</v>
      </c>
      <c r="D90" s="103">
        <f>SUM(D91:D93)</f>
        <v>71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754</v>
      </c>
      <c r="B91" s="396" t="s">
        <v>755</v>
      </c>
      <c r="C91" s="108"/>
      <c r="D91" s="108"/>
      <c r="E91" s="119">
        <f t="shared" si="1"/>
        <v>0</v>
      </c>
      <c r="F91" s="108"/>
    </row>
    <row r="92" spans="1:6" ht="12">
      <c r="A92" s="395" t="s">
        <v>662</v>
      </c>
      <c r="B92" s="396" t="s">
        <v>756</v>
      </c>
      <c r="C92" s="108"/>
      <c r="D92" s="108"/>
      <c r="E92" s="119">
        <f t="shared" si="1"/>
        <v>0</v>
      </c>
      <c r="F92" s="108"/>
    </row>
    <row r="93" spans="1:6" ht="12">
      <c r="A93" s="395" t="s">
        <v>666</v>
      </c>
      <c r="B93" s="396" t="s">
        <v>757</v>
      </c>
      <c r="C93" s="108">
        <v>71</v>
      </c>
      <c r="D93" s="108">
        <v>71</v>
      </c>
      <c r="E93" s="119">
        <f t="shared" si="1"/>
        <v>0</v>
      </c>
      <c r="F93" s="108"/>
    </row>
    <row r="94" spans="1:6" ht="12">
      <c r="A94" s="395" t="s">
        <v>758</v>
      </c>
      <c r="B94" s="396" t="s">
        <v>759</v>
      </c>
      <c r="C94" s="108">
        <v>146</v>
      </c>
      <c r="D94" s="108">
        <v>146</v>
      </c>
      <c r="E94" s="119">
        <f t="shared" si="1"/>
        <v>0</v>
      </c>
      <c r="F94" s="108"/>
    </row>
    <row r="95" spans="1:6" ht="12">
      <c r="A95" s="395" t="s">
        <v>760</v>
      </c>
      <c r="B95" s="396" t="s">
        <v>761</v>
      </c>
      <c r="C95" s="108"/>
      <c r="D95" s="108"/>
      <c r="E95" s="119">
        <f t="shared" si="1"/>
        <v>0</v>
      </c>
      <c r="F95" s="110"/>
    </row>
    <row r="96" spans="1:16" ht="12">
      <c r="A96" s="397" t="s">
        <v>762</v>
      </c>
      <c r="B96" s="406" t="s">
        <v>763</v>
      </c>
      <c r="C96" s="104">
        <f>C85+C80+C75+C71+C95</f>
        <v>51774</v>
      </c>
      <c r="D96" s="104">
        <f>D85+D80+D75+D71+D95</f>
        <v>51774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764</v>
      </c>
      <c r="B97" s="394" t="s">
        <v>765</v>
      </c>
      <c r="C97" s="104">
        <f>C96+C68+C66</f>
        <v>68916</v>
      </c>
      <c r="D97" s="104">
        <f>D96+D68+D66</f>
        <v>51774</v>
      </c>
      <c r="E97" s="104">
        <f>E96+E68+E66</f>
        <v>17142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766</v>
      </c>
      <c r="B99" s="409"/>
      <c r="C99" s="113"/>
      <c r="D99" s="113"/>
      <c r="E99" s="113"/>
      <c r="F99" s="410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4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771</v>
      </c>
      <c r="B102" s="396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773</v>
      </c>
      <c r="B103" s="396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775</v>
      </c>
      <c r="B104" s="396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777</v>
      </c>
      <c r="B105" s="394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779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630" t="s">
        <v>869</v>
      </c>
      <c r="B109" s="630"/>
      <c r="C109" s="630" t="s">
        <v>382</v>
      </c>
      <c r="D109" s="630"/>
      <c r="E109" s="630"/>
      <c r="F109" s="630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29" t="s">
        <v>781</v>
      </c>
      <c r="D111" s="629"/>
      <c r="E111" s="629"/>
      <c r="F111" s="629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37" t="str">
        <f>'справка №1-БАЛАНС'!E3</f>
        <v>БГ  АГРО  АД</v>
      </c>
      <c r="C4" s="637"/>
      <c r="D4" s="637"/>
      <c r="E4" s="637"/>
      <c r="F4" s="637"/>
      <c r="G4" s="643" t="s">
        <v>2</v>
      </c>
      <c r="H4" s="643"/>
      <c r="I4" s="499">
        <f>'справка №1-БАЛАНС'!H3</f>
        <v>0</v>
      </c>
    </row>
    <row r="5" spans="1:9" ht="15">
      <c r="A5" s="500" t="s">
        <v>5</v>
      </c>
      <c r="B5" s="638">
        <f>'справка №1-БАЛАНС'!E5</f>
        <v>44012</v>
      </c>
      <c r="C5" s="638"/>
      <c r="D5" s="638"/>
      <c r="E5" s="638"/>
      <c r="F5" s="638"/>
      <c r="G5" s="641" t="s">
        <v>4</v>
      </c>
      <c r="H5" s="64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20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868</v>
      </c>
      <c r="B30" s="640"/>
      <c r="C30" s="640"/>
      <c r="D30" s="458" t="s">
        <v>819</v>
      </c>
      <c r="E30" s="639"/>
      <c r="F30" s="639"/>
      <c r="G30" s="639"/>
      <c r="H30" s="419" t="s">
        <v>781</v>
      </c>
      <c r="I30" s="639"/>
      <c r="J30" s="639"/>
    </row>
    <row r="31" spans="1:9" s="520" customFormat="1" ht="12">
      <c r="A31" s="349"/>
      <c r="B31" s="387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7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44" t="str">
        <f>'справка №1-БАЛАНС'!E3</f>
        <v>БГ  АГРО  АД</v>
      </c>
      <c r="C5" s="644"/>
      <c r="D5" s="644"/>
      <c r="E5" s="568" t="s">
        <v>2</v>
      </c>
      <c r="F5" s="450">
        <f>'справка №1-БАЛАНС'!H3</f>
        <v>0</v>
      </c>
    </row>
    <row r="6" spans="1:13" ht="15" customHeight="1">
      <c r="A6" s="27" t="s">
        <v>822</v>
      </c>
      <c r="B6" s="645">
        <f>'справка №1-БАЛАНС'!E5</f>
        <v>44012</v>
      </c>
      <c r="C6" s="645"/>
      <c r="D6" s="509"/>
      <c r="E6" s="567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>
        <v>1</v>
      </c>
      <c r="B12" s="37"/>
      <c r="C12" s="572"/>
      <c r="D12" s="572"/>
      <c r="E12" s="440"/>
      <c r="F12" s="442">
        <f>C12-E12</f>
        <v>0</v>
      </c>
    </row>
    <row r="13" spans="1:6" ht="12.75">
      <c r="A13" s="36">
        <v>2</v>
      </c>
      <c r="B13" s="37"/>
      <c r="C13" s="572"/>
      <c r="D13" s="572"/>
      <c r="E13" s="440"/>
      <c r="F13" s="442">
        <f aca="true" t="shared" si="0" ref="F13:F26">C13-E13</f>
        <v>0</v>
      </c>
    </row>
    <row r="14" spans="1:6" ht="12.75">
      <c r="A14" s="36">
        <v>3</v>
      </c>
      <c r="B14" s="37"/>
      <c r="C14" s="572"/>
      <c r="D14" s="572"/>
      <c r="E14" s="440"/>
      <c r="F14" s="442">
        <f t="shared" si="0"/>
        <v>0</v>
      </c>
    </row>
    <row r="15" spans="1:6" ht="12.75">
      <c r="A15" s="36">
        <v>4</v>
      </c>
      <c r="B15" s="37"/>
      <c r="C15" s="572"/>
      <c r="D15" s="572"/>
      <c r="E15" s="440"/>
      <c r="F15" s="442">
        <f t="shared" si="0"/>
        <v>0</v>
      </c>
    </row>
    <row r="16" spans="1:6" ht="12.75">
      <c r="A16" s="36">
        <v>5</v>
      </c>
      <c r="B16" s="37"/>
      <c r="C16" s="572"/>
      <c r="D16" s="572"/>
      <c r="E16" s="440"/>
      <c r="F16" s="442">
        <f t="shared" si="0"/>
        <v>0</v>
      </c>
    </row>
    <row r="17" spans="1:6" ht="12.75">
      <c r="A17" s="36">
        <v>6</v>
      </c>
      <c r="B17" s="37"/>
      <c r="C17" s="572"/>
      <c r="D17" s="572"/>
      <c r="E17" s="440"/>
      <c r="F17" s="442">
        <f t="shared" si="0"/>
        <v>0</v>
      </c>
    </row>
    <row r="18" spans="1:6" ht="12.75">
      <c r="A18" s="36">
        <v>7</v>
      </c>
      <c r="B18" s="37"/>
      <c r="C18" s="572"/>
      <c r="D18" s="572"/>
      <c r="E18" s="440"/>
      <c r="F18" s="442">
        <f t="shared" si="0"/>
        <v>0</v>
      </c>
    </row>
    <row r="19" spans="1:6" ht="12.75">
      <c r="A19" s="36">
        <v>8</v>
      </c>
      <c r="B19" s="37"/>
      <c r="C19" s="572"/>
      <c r="D19" s="572"/>
      <c r="E19" s="440"/>
      <c r="F19" s="442">
        <f t="shared" si="0"/>
        <v>0</v>
      </c>
    </row>
    <row r="20" spans="1:6" ht="12.75">
      <c r="A20" s="36">
        <v>9</v>
      </c>
      <c r="B20" s="37"/>
      <c r="C20" s="572"/>
      <c r="D20" s="572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8"/>
      <c r="D80" s="428"/>
      <c r="E80" s="428"/>
      <c r="F80" s="441"/>
    </row>
    <row r="81" spans="1:6" ht="14.25" customHeight="1">
      <c r="A81" s="36" t="s">
        <v>829</v>
      </c>
      <c r="B81" s="40"/>
      <c r="C81" s="428"/>
      <c r="D81" s="428"/>
      <c r="E81" s="428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843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8"/>
      <c r="D98" s="428"/>
      <c r="E98" s="428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8"/>
      <c r="D115" s="428"/>
      <c r="E115" s="428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8"/>
      <c r="D132" s="428"/>
      <c r="E132" s="428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869</v>
      </c>
      <c r="B151" s="452"/>
      <c r="C151" s="646" t="s">
        <v>849</v>
      </c>
      <c r="D151" s="646"/>
      <c r="E151" s="646"/>
      <c r="F151" s="646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46" t="s">
        <v>857</v>
      </c>
      <c r="D153" s="646"/>
      <c r="E153" s="646"/>
      <c r="F153" s="646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9:C26 E12:F26 D19:D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Valkova</cp:lastModifiedBy>
  <cp:lastPrinted>2020-02-28T08:10:17Z</cp:lastPrinted>
  <dcterms:created xsi:type="dcterms:W3CDTF">2000-06-29T12:02:40Z</dcterms:created>
  <dcterms:modified xsi:type="dcterms:W3CDTF">2020-08-21T14:16:26Z</dcterms:modified>
  <cp:category/>
  <cp:version/>
  <cp:contentType/>
  <cp:contentStatus/>
</cp:coreProperties>
</file>