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65461" windowWidth="15945" windowHeight="11730" tabRatio="67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<sst xmlns="http://schemas.openxmlformats.org/spreadsheetml/2006/main" count="1061" uniqueCount="877">
  <si>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</si>
  <si>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</si>
  <si>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</si>
  <si>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</si>
  <si>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</si>
  <si>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</si>
  <si>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</si>
  <si>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</si>
  <si>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</si>
  <si>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</si>
  <si>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</si>
  <si>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</si>
  <si>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</si>
  <si>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</si>
  <si>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</si>
  <si>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</si>
  <si>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</si>
  <si>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</si>
  <si>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</si>
  <si>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</si>
  <si>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</si>
  <si>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</si>
  <si>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</si>
  <si>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</si>
  <si>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</si>
  <si>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</si>
  <si>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</si>
  <si>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</si>
  <si>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</si>
  <si>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</si>
  <si>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</si>
  <si>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</si>
  <si>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</si>
  <si>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</si>
  <si>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</si>
  <si>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</si>
  <si>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</si>
  <si>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</si>
  <si>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</si>
  <si>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</si>
  <si>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</si>
  <si>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</si>
  <si>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</si>
  <si>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</si>
  <si>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</si>
  <si>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</si>
  <si>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</si>
  <si>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</si>
  <si>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</si>
  <si>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</si>
  <si>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</si>
  <si>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</si>
  <si>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</si>
  <si>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</si>
  <si>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</si>
  <si>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</si>
  <si>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</si>
  <si>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</si>
  <si>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</si>
  <si>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</si>
  <si>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</si>
  <si>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</si>
  <si>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</si>
  <si>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</si>
  <si>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</si>
  <si>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</si>
  <si>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</si>
  <si>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</si>
  <si>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</si>
  <si>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</si>
  <si>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</si>
  <si>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</si>
  <si>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</si>
  <si>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</si>
  <si>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</si>
  <si>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</si>
  <si>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</si>
  <si>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</si>
  <si>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</si>
  <si>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</si>
  <si>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</si>
  <si>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</si>
  <si>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</si>
  <si>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</si>
  <si>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</si>
  <si>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</si>
  <si>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</si>
  <si>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</si>
  <si>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</si>
  <si>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</si>
  <si>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</si>
  <si>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</si>
  <si>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</si>
  <si>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</si>
  <si>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</si>
  <si>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</si>
  <si>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</si>
  <si>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</si>
  <si>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</si>
  <si>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</si>
  <si>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</si>
  <si>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</si>
  <si>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</si>
  <si>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</si>
  <si>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</si>
  <si>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</si>
  <si>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</si>
  <si>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</si>
  <si>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</si>
  <si>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</si>
  <si>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</si>
  <si>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</si>
  <si>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</si>
  <si>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</si>
  <si>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</si>
  <si>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</si>
  <si>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</si>
  <si>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</si>
  <si>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</si>
  <si>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</si>
  <si>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</si>
  <si>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</si>
  <si>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</si>
  <si>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</si>
  <si>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</si>
  <si>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</si>
  <si>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</si>
  <si>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</si>
  <si>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</si>
  <si>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</si>
  <si>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</si>
  <si>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</si>
  <si>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</si>
  <si>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</si>
  <si>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</si>
  <si>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</si>
  <si>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</si>
  <si>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</si>
  <si>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</si>
  <si>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</si>
  <si>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</si>
  <si>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</si>
  <si>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</si>
  <si>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</si>
  <si>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</si>
  <si>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</si>
  <si>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</si>
  <si>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</si>
  <si>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</si>
  <si>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</si>
  <si>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</si>
  <si>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</si>
  <si>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</si>
  <si>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</si>
  <si>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</si>
  <si>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</si>
  <si>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</si>
  <si>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</si>
  <si>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</si>
  <si>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</si>
  <si>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</si>
  <si>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</si>
  <si>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</si>
  <si>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</si>
  <si>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</si>
  <si>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</si>
  <si>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</si>
  <si>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</si>
  <si>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</si>
  <si>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</si>
  <si>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</si>
  <si>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</si>
  <si>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</si>
  <si>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</si>
  <si>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</si>
  <si>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</si>
  <si>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</si>
  <si>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</si>
  <si>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</si>
  <si>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</si>
  <si>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</si>
  <si>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</si>
  <si>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</si>
  <si>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</si>
  <si>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</si>
  <si>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</si>
  <si>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</si>
  <si>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</si>
  <si>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</si>
  <si>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</si>
  <si>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</si>
  <si>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</si>
  <si>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</si>
  <si>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</si>
  <si>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</si>
  <si>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</si>
  <si>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</si>
  <si>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</si>
  <si>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</si>
  <si>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</si>
  <si>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</si>
  <si>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</si>
  <si>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</si>
  <si>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</si>
  <si>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</si>
  <si>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</si>
  <si>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</si>
  <si>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</si>
  <si>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</si>
  <si>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</si>
  <si>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</si>
  <si>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</si>
  <si>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</si>
  <si>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</si>
  <si>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</si>
  <si>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</si>
  <si>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</si>
  <si>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</si>
  <si>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</si>
  <si>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</si>
  <si>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</si>
  <si>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</si>
  <si>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</si>
  <si>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</si>
  <si>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</si>
  <si>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</si>
  <si>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</si>
  <si>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</si>
  <si>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</si>
  <si>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</si>
  <si>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</si>
  <si>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</si>
  <si>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</si>
  <si>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</si>
  <si>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</si>
  <si>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</si>
  <si>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</si>
  <si>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</si>
  <si>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</si>
  <si>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</si>
  <si>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</si>
  <si>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</si>
  <si>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</si>
  <si>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</si>
  <si>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</si>
  <si>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</si>
  <si>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</si>
  <si>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</si>
  <si>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</si>
  <si>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</si>
  <si>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</si>
  <si>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</si>
  <si>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</si>
  <si>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</si>
  <si>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</si>
  <si>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</si>
  <si>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</si>
  <si>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</si>
  <si>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</si>
  <si>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</si>
  <si>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</si>
  <si>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</si>
  <si>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</si>
  <si>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</si>
  <si>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</si>
  <si>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</si>
  <si>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</si>
  <si>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</si>
  <si>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</si>
  <si>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</si>
  <si>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</si>
  <si>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</si>
  <si>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</si>
  <si>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</si>
  <si>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</si>
  <si>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</si>
  <si>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</si>
  <si>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</si>
  <si>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</si>
  <si>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</si>
  <si>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</si>
  <si>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</si>
  <si>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</si>
  <si>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</si>
  <si>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</si>
  <si>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</si>
  <si>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</si>
  <si>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</si>
  <si>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</si>
  <si>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</si>
  <si>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</si>
  <si>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</si>
  <si>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</si>
  <si>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</si>
  <si>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</si>
  <si>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</si>
  <si>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</si>
  <si>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</si>
  <si>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</si>
  <si>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</si>
  <si>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</si>
  <si>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</si>
  <si>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</si>
  <si>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</si>
  <si>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</si>
  <si>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</si>
  <si>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</si>
  <si>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</si>
  <si>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</si>
  <si>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</si>
  <si>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</si>
  <si>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</si>
  <si>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</si>
  <si>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</si>
  <si>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</si>
  <si>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</si>
  <si>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</si>
  <si>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</si>
  <si>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</si>
  <si>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</si>
  <si>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</si>
  <si>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</si>
  <si>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</si>
  <si>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</si>
  <si>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</si>
  <si>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</si>
  <si>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</si>
  <si>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</si>
  <si>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</si>
  <si>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</si>
  <si>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</si>
  <si>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</si>
  <si>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</si>
  <si>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</si>
  <si>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</si>
  <si>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</si>
  <si>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</si>
  <si>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</si>
  <si>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</si>
  <si>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</si>
  <si>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</si>
  <si>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</si>
  <si>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</si>
  <si>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</si>
  <si>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</si>
  <si>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</si>
  <si>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</si>
  <si>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</si>
  <si>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</si>
  <si>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</si>
  <si>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</si>
  <si>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</si>
  <si>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</si>
  <si>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</si>
  <si>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</si>
  <si>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</si>
  <si>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</si>
  <si>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</si>
  <si>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</si>
  <si>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</si>
  <si>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</si>
  <si>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</si>
  <si>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</si>
  <si>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</si>
  <si>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</si>
  <si>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</si>
  <si>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</si>
  <si>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</si>
  <si>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</si>
  <si>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</si>
  <si>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</si>
  <si>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</si>
  <si>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</si>
  <si>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</si>
  <si>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</si>
  <si>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</si>
  <si>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</si>
  <si>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</si>
  <si>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</si>
  <si>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</si>
  <si>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</si>
  <si>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</si>
  <si>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</si>
  <si>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</si>
  <si>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</si>
  <si>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</si>
  <si>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</si>
  <si>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</si>
  <si>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</si>
  <si>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</si>
  <si>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</si>
  <si>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</si>
  <si>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</si>
  <si>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</si>
  <si>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</si>
  <si>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</si>
  <si>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</si>
  <si>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</si>
  <si>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</si>
  <si>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</si>
  <si>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</si>
  <si>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</si>
  <si>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</si>
  <si>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</si>
  <si>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</si>
  <si>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</si>
  <si>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</si>
  <si>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</si>
  <si>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</si>
  <si>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</si>
  <si>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</si>
  <si>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</si>
  <si>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</si>
  <si>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</si>
  <si>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</si>
  <si>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</si>
  <si>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</si>
  <si>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</si>
  <si>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</si>
  <si>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</si>
  <si>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</si>
  <si>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</si>
  <si>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</si>
  <si>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</si>
  <si>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</si>
  <si>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</si>
  <si>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</si>
  <si>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</si>
  <si>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</si>
  <si>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</si>
  <si>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</si>
  <si>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</si>
  <si>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</si>
  <si>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</si>
  <si>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</si>
  <si>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</si>
  <si>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</si>
  <si>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</si>
  <si>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</si>
  <si>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</si>
  <si>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</si>
  <si>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</si>
  <si>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</si>
  <si>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</si>
  <si>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</si>
  <si>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</si>
  <si>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</si>
  <si>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</si>
  <si>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</si>
  <si>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</si>
  <si>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</si>
  <si>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</si>
  <si>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</si>
  <si>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</si>
  <si>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</si>
  <si>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</si>
  <si>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</si>
  <si>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</si>
  <si>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</si>
  <si>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</si>
  <si>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</si>
  <si>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</si>
  <si>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</si>
  <si>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</si>
  <si>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</si>
  <si>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</si>
  <si>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</si>
  <si>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</si>
  <si>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</si>
  <si>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</si>
  <si>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</si>
  <si>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</si>
  <si>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</si>
  <si>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</si>
  <si>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</si>
  <si>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</si>
  <si>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</si>
  <si>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</si>
  <si>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</si>
  <si>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</si>
  <si>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</si>
  <si>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</si>
  <si>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</si>
  <si>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</si>
  <si>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</si>
  <si>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</si>
  <si>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</si>
  <si>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</si>
  <si>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</si>
  <si>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</si>
  <si>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</si>
  <si>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</si>
  <si>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</si>
  <si>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</si>
  <si>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</si>
  <si>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</si>
  <si>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</si>
  <si>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</si>
  <si>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</si>
  <si>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</si>
  <si>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</si>
  <si>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</si>
  <si>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</si>
  <si>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</si>
  <si>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</si>
  <si>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</si>
  <si>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</si>
  <si>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</si>
  <si>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</si>
  <si>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</si>
  <si>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</si>
  <si>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</si>
  <si>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</si>
  <si>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</si>
  <si>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</si>
  <si>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</si>
  <si>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</si>
  <si>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</si>
  <si>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</si>
  <si>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</si>
  <si>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</si>
  <si>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</si>
  <si>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</si>
  <si>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</si>
  <si>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</si>
  <si>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</si>
  <si>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</si>
  <si>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</si>
  <si>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</si>
  <si>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</si>
  <si>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</si>
  <si>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</si>
  <si>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</si>
  <si>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</si>
  <si>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</si>
  <si>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</si>
  <si>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</si>
  <si>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</si>
  <si>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</si>
  <si>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</si>
  <si>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</si>
  <si>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</si>
  <si>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</si>
  <si>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</si>
  <si>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</si>
  <si>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</si>
  <si>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</si>
  <si>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</si>
  <si>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</si>
  <si>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</si>
  <si>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</si>
  <si>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</si>
  <si>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</si>
  <si>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</si>
  <si>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</si>
  <si>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</si>
  <si>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</si>
  <si>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</si>
  <si>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</si>
  <si>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</si>
  <si>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</si>
  <si>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</si>
  <si>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</si>
  <si>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</si>
  <si>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</si>
  <si>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</si>
  <si>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</si>
  <si>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</si>
  <si>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</si>
  <si>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</si>
  <si>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</si>
  <si>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</si>
  <si>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</si>
  <si>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</si>
  <si>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</si>
  <si>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</si>
  <si>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</si>
  <si>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</si>
  <si>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</si>
  <si>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</si>
  <si>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</si>
  <si>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</si>
  <si>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</si>
  <si>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</si>
  <si>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</si>
  <si>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</si>
  <si>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</si>
  <si>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</si>
  <si>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</si>
  <si>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</si>
  <si>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</si>
  <si>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</si>
  <si>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</si>
  <si>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</si>
  <si>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</si>
  <si>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</si>
  <si>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</si>
  <si>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</si>
  <si>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</si>
  <si>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</si>
  <si>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</si>
  <si>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</si>
  <si>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</si>
  <si>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</si>
  <si>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</si>
  <si>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</si>
  <si>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</si>
  <si>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</si>
  <si>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</si>
  <si>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</si>
  <si>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</si>
  <si>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</si>
  <si>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</si>
  <si>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</si>
  <si>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</si>
  <si>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</si>
  <si>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</si>
  <si>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</si>
  <si>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</si>
  <si>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</si>
  <si>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</si>
  <si>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</si>
  <si>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</si>
  <si>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</si>
  <si>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</si>
  <si>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</si>
  <si>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</si>
  <si>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</si>
  <si>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</si>
  <si>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</si>
  <si>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</si>
  <si>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</si>
  <si>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</si>
  <si>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</si>
  <si>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</si>
  <si>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</si>
  <si>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</si>
  <si>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</si>
  <si>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</si>
  <si>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</si>
  <si>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</si>
  <si>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</si>
  <si>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</si>
  <si>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</si>
  <si>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</si>
  <si>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</si>
  <si>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</si>
  <si>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</si>
  <si>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</si>
  <si>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</si>
  <si>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</si>
  <si>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</si>
  <si>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</si>
  <si>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</si>
  <si>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</si>
  <si>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</si>
  <si>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</si>
  <si>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</si>
  <si>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</si>
  <si>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</si>
  <si>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</si>
  <si>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</si>
  <si>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</si>
  <si>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</si>
  <si>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</si>
  <si>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</si>
  <si>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</si>
  <si>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</si>
  <si>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</si>
  <si>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</si>
  <si>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</si>
  <si>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</si>
  <si>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</si>
  <si>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</si>
  <si>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</si>
  <si>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</si>
  <si>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</si>
  <si>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</si>
  <si>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</si>
  <si>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</si>
  <si>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</si>
  <si>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</si>
  <si>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</si>
  <si>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</si>
  <si>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</si>
  <si>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</si>
  <si>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</si>
  <si>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</si>
  <si>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</si>
  <si>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</si>
  <si>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</si>
  <si>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</si>
  <si>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</si>
  <si>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</si>
  <si>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</si>
  <si>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</si>
  <si>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</si>
  <si>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</si>
  <si>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</si>
  <si>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</si>
  <si>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</si>
  <si>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</si>
  <si>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</si>
  <si>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</si>
  <si>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</si>
  <si>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</si>
  <si>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</si>
  <si>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</si>
  <si>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</si>
  <si>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</si>
  <si>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</si>
  <si>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</si>
  <si>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</si>
  <si>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</si>
  <si>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</si>
  <si>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</si>
  <si>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</si>
  <si>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</si>
  <si>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</si>
  <si>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</si>
  <si>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</si>
  <si>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</si>
  <si>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</si>
  <si>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</si>
  <si>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</si>
  <si>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</si>
  <si>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</si>
  <si>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</si>
  <si>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</si>
  <si>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</si>
  <si>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</si>
  <si>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</si>
  <si>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</si>
  <si>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</si>
  <si>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</si>
  <si>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</si>
  <si>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</si>
  <si>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</si>
  <si>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</si>
  <si>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</si>
  <si>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</si>
  <si>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</si>
  <si>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</si>
  <si>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</si>
  <si>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</si>
  <si>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</si>
  <si>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</si>
  <si>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</si>
  <si>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</si>
  <si>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</si>
  <si>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</si>
  <si>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</si>
  <si>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</si>
  <si>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</si>
  <si>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</si>
  <si>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</si>
  <si>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</si>
  <si>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</si>
  <si>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</si>
  <si>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</si>
  <si>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</si>
  <si>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</si>
  <si>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</si>
  <si>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</si>
  <si>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</si>
  <si>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</si>
  <si>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</si>
  <si>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</si>
  <si>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</si>
  <si>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</si>
  <si>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</si>
  <si>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</si>
  <si>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</si>
  <si>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</si>
  <si>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</si>
  <si>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</si>
  <si>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</si>
  <si>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</si>
  <si>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</si>
  <si>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</si>
  <si>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</si>
  <si>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</si>
  <si>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</si>
  <si>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</si>
  <si>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</si>
  <si>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</si>
  <si>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</si>
  <si>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</si>
  <si>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</si>
  <si>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</si>
  <si>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</si>
  <si>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</si>
  <si>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</si>
  <si>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</si>
  <si>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</si>
  <si>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</si>
  <si>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</si>
  <si>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</si>
  <si>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</si>
  <si>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</si>
  <si>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</si>
  <si>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</si>
  <si>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</si>
  <si>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</si>
  <si>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</si>
  <si>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</si>
  <si>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</si>
  <si>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</si>
  <si>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</si>
  <si>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</si>
  <si>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</si>
  <si>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</si>
  <si>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</si>
  <si>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</si>
  <si>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</si>
  <si>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</si>
  <si>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</si>
  <si>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</si>
  <si>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</si>
  <si>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</si>
  <si>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</si>
  <si>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</si>
  <si>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</si>
  <si>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</si>
  <si>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</si>
  <si>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</si>
  <si>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</si>
  <si>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</si>
  <si>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</si>
  <si>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</si>
  <si>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</si>
  <si>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</si>
  <si>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</si>
  <si>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</si>
  <si>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</si>
  <si>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</si>
  <si>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</si>
  <si>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</si>
  <si>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</si>
  <si>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</si>
  <si>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</si>
  <si>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</si>
  <si>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</si>
  <si>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</si>
  <si>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</si>
  <si>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</si>
  <si>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</si>
  <si>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</si>
  <si>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</si>
  <si>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</si>
  <si>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</si>
  <si>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</si>
  <si>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</si>
  <si>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</si>
  <si>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</si>
  <si>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</si>
  <si>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</si>
  <si>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</si>
  <si>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</si>
  <si>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</si>
  <si>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</si>
  <si>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</si>
  <si>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</si>
  <si>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</si>
  <si>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</si>
  <si>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</si>
  <si>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НЕКОНСОЛИДИРАН</t>
  </si>
  <si>
    <t>1. БГ Агро Търговска Компания  ЕООД</t>
  </si>
  <si>
    <t>2 Канопус Процесинг ЕООД</t>
  </si>
  <si>
    <t>3. Агри Лаб Контрол ЕООД</t>
  </si>
  <si>
    <t>4.  БГ Агро Земеделска Компания  ЕООД</t>
  </si>
  <si>
    <t>5 БГ Агро Плодова Компания ЕООД</t>
  </si>
  <si>
    <t>Дата на съставяне:31.03.2021</t>
  </si>
  <si>
    <t>Дата на съставяне:  31.03.2021</t>
  </si>
  <si>
    <t>Дата  на съставяне: 31.03.2021</t>
  </si>
  <si>
    <t>Дата на съставяне: 31.03.2021</t>
  </si>
  <si>
    <t>Дата на съставяне:30.03.2021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</si>
</sst>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9" fillId="0" borderId="0" xfId="0" applyFont="1" applyAlignment="1">
      <alignment horizontal="right" vertical="center" wrapText="1"/>
    </xf>
    <xf numFmtId="0" fontId="60" fillId="0" borderId="39" xfId="0" applyFont="1" applyBorder="1" applyAlignment="1">
      <alignment horizontal="right" vertical="center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40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D13">
      <selection activeCell="H37" sqref="H3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865</v>
      </c>
      <c r="F3" s="217" t="s">
        <v>2</v>
      </c>
      <c r="G3" s="172"/>
      <c r="H3" s="461">
        <v>148111353</v>
      </c>
    </row>
    <row r="4" spans="1:8" ht="15">
      <c r="A4" s="578" t="s">
        <v>3</v>
      </c>
      <c r="B4" s="584"/>
      <c r="C4" s="584"/>
      <c r="D4" s="584"/>
      <c r="E4" s="504" t="s">
        <v>866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>
        <v>44286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</v>
      </c>
      <c r="D17" s="151">
        <v>14</v>
      </c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20</v>
      </c>
      <c r="D19" s="155">
        <f>SUM(D11:D18)</f>
        <v>21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3901</v>
      </c>
      <c r="H21" s="156">
        <f>SUM(H22:H24)</f>
        <v>3901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3901</v>
      </c>
      <c r="H22" s="152">
        <v>3901</v>
      </c>
    </row>
    <row r="23" spans="1:13" ht="15">
      <c r="A23" s="235" t="s">
        <v>66</v>
      </c>
      <c r="B23" s="241" t="s">
        <v>67</v>
      </c>
      <c r="C23" s="151">
        <v>5</v>
      </c>
      <c r="D23" s="151">
        <v>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77</v>
      </c>
      <c r="D24" s="151">
        <v>79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3901</v>
      </c>
      <c r="H25" s="154">
        <f>H19+H20+H21</f>
        <v>3901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446</v>
      </c>
      <c r="D26" s="151">
        <v>428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528</v>
      </c>
      <c r="D27" s="155">
        <f>SUM(D23:D26)</f>
        <v>513</v>
      </c>
      <c r="E27" s="253" t="s">
        <v>83</v>
      </c>
      <c r="F27" s="242" t="s">
        <v>84</v>
      </c>
      <c r="G27" s="154">
        <f>SUM(G28:G30)</f>
        <v>6793</v>
      </c>
      <c r="H27" s="154">
        <f>SUM(H28:H30)</f>
        <v>6748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6793</v>
      </c>
      <c r="H28" s="152">
        <v>6748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91</v>
      </c>
      <c r="H31" s="152">
        <v>45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6884</v>
      </c>
      <c r="H33" s="154">
        <f>H27+H31+H32</f>
        <v>6793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42151</v>
      </c>
      <c r="D34" s="155">
        <f>SUM(D35:D38)</f>
        <v>42151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42151</v>
      </c>
      <c r="D35" s="151">
        <v>42151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51142</v>
      </c>
      <c r="H36" s="154">
        <f>H25+H17+H33</f>
        <v>51051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42151</v>
      </c>
      <c r="D45" s="155">
        <f>D34+D39+D44</f>
        <v>42151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8145</v>
      </c>
      <c r="D47" s="151">
        <v>8136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8145</v>
      </c>
      <c r="D51" s="155">
        <f>SUM(D47:D50)</f>
        <v>8136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12</v>
      </c>
      <c r="D54" s="151">
        <v>12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50856</v>
      </c>
      <c r="D55" s="155">
        <f>D19+D20+D21+D27+D32+D45+D51+D53+D54</f>
        <v>50833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390</v>
      </c>
      <c r="H61" s="154">
        <f>SUM(H62:H68)</f>
        <v>382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337</v>
      </c>
      <c r="H62" s="152">
        <v>335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32</v>
      </c>
      <c r="H66" s="152">
        <v>34</v>
      </c>
    </row>
    <row r="67" spans="1:8" ht="15">
      <c r="A67" s="235" t="s">
        <v>207</v>
      </c>
      <c r="B67" s="241" t="s">
        <v>208</v>
      </c>
      <c r="C67" s="151">
        <v>599</v>
      </c>
      <c r="D67" s="151">
        <v>529</v>
      </c>
      <c r="E67" s="237" t="s">
        <v>209</v>
      </c>
      <c r="F67" s="242" t="s">
        <v>210</v>
      </c>
      <c r="G67" s="152">
        <v>7</v>
      </c>
      <c r="H67" s="152">
        <v>7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8</v>
      </c>
      <c r="H68" s="152">
        <v>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390</v>
      </c>
      <c r="H71" s="161">
        <f>H59+H60+H61+H69+H70</f>
        <v>382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599</v>
      </c>
      <c r="D75" s="155">
        <f>SUM(D67:D74)</f>
        <v>529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390</v>
      </c>
      <c r="H79" s="162">
        <f>H71+H74+H75+H76</f>
        <v>382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</v>
      </c>
      <c r="D88" s="151">
        <v>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</v>
      </c>
      <c r="D91" s="155">
        <f>SUM(D87:D90)</f>
        <v>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60</v>
      </c>
      <c r="D92" s="151">
        <v>55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676</v>
      </c>
      <c r="D93" s="155">
        <f>D64+D75+D84+D91+D92</f>
        <v>600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51532</v>
      </c>
      <c r="D94" s="164">
        <f>D93+D55</f>
        <v>51433</v>
      </c>
      <c r="E94" s="449" t="s">
        <v>270</v>
      </c>
      <c r="F94" s="289" t="s">
        <v>271</v>
      </c>
      <c r="G94" s="165">
        <f>G36+G39+G55+G79</f>
        <v>51532</v>
      </c>
      <c r="H94" s="165">
        <f>H36+H39+H55+H79</f>
        <v>51433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G21" sqref="G2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БГ  АГРО  АД</v>
      </c>
      <c r="C2" s="587"/>
      <c r="D2" s="587"/>
      <c r="E2" s="587"/>
      <c r="F2" s="589" t="s">
        <v>2</v>
      </c>
      <c r="G2" s="589"/>
      <c r="H2" s="526">
        <f>'справка №1-БАЛАНС'!H3</f>
        <v>148111353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>
        <f>'справка №1-БАЛАНС'!E5</f>
        <v>44286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67</v>
      </c>
      <c r="D10" s="46">
        <v>57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</v>
      </c>
      <c r="D11" s="46">
        <v>4</v>
      </c>
      <c r="E11" s="300" t="s">
        <v>293</v>
      </c>
      <c r="F11" s="549" t="s">
        <v>294</v>
      </c>
      <c r="G11" s="550">
        <v>137</v>
      </c>
      <c r="H11" s="550">
        <v>138</v>
      </c>
    </row>
    <row r="12" spans="1:8" ht="12">
      <c r="A12" s="298" t="s">
        <v>295</v>
      </c>
      <c r="B12" s="299" t="s">
        <v>296</v>
      </c>
      <c r="C12" s="46">
        <v>93</v>
      </c>
      <c r="D12" s="46">
        <v>93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10</v>
      </c>
      <c r="D13" s="46">
        <v>10</v>
      </c>
      <c r="E13" s="301" t="s">
        <v>51</v>
      </c>
      <c r="F13" s="551" t="s">
        <v>300</v>
      </c>
      <c r="G13" s="548">
        <f>SUM(G9:G12)</f>
        <v>137</v>
      </c>
      <c r="H13" s="548">
        <f>SUM(H9:H12)</f>
        <v>138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174</v>
      </c>
      <c r="D19" s="49">
        <f>SUM(D9:D15)+D16</f>
        <v>165</v>
      </c>
      <c r="E19" s="304" t="s">
        <v>317</v>
      </c>
      <c r="F19" s="552" t="s">
        <v>318</v>
      </c>
      <c r="G19" s="550">
        <v>48</v>
      </c>
      <c r="H19" s="550">
        <v>48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80</v>
      </c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128</v>
      </c>
      <c r="H24" s="548">
        <f>SUM(H19:H23)</f>
        <v>48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174</v>
      </c>
      <c r="D28" s="50">
        <f>D26+D19</f>
        <v>165</v>
      </c>
      <c r="E28" s="127" t="s">
        <v>339</v>
      </c>
      <c r="F28" s="554" t="s">
        <v>340</v>
      </c>
      <c r="G28" s="548">
        <f>G13+G15+G24</f>
        <v>265</v>
      </c>
      <c r="H28" s="548">
        <f>H13+H15+H24</f>
        <v>186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91</v>
      </c>
      <c r="D30" s="50">
        <f>IF((H28-D28)&gt;0,H28-D28,0)</f>
        <v>21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174</v>
      </c>
      <c r="D33" s="49">
        <f>D28-D31+D32</f>
        <v>165</v>
      </c>
      <c r="E33" s="127" t="s">
        <v>353</v>
      </c>
      <c r="F33" s="554" t="s">
        <v>354</v>
      </c>
      <c r="G33" s="53">
        <f>G32-G31+G28</f>
        <v>265</v>
      </c>
      <c r="H33" s="53">
        <f>H32-H31+H28</f>
        <v>186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91</v>
      </c>
      <c r="D34" s="50">
        <f>IF((H33-D33)&gt;0,H33-D33,0)</f>
        <v>21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91</v>
      </c>
      <c r="D39" s="460">
        <f>+IF((H33-D33-D35)&gt;0,H33-D33-D35,0)</f>
        <v>21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91</v>
      </c>
      <c r="D41" s="52">
        <f>IF(H39=0,IF(D39-D40&gt;0,D39-D40+H40,0),IF(H39-H40&lt;0,H40-H39+D39,0))</f>
        <v>21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265</v>
      </c>
      <c r="D42" s="53">
        <f>D33+D35+D39</f>
        <v>186</v>
      </c>
      <c r="E42" s="128" t="s">
        <v>380</v>
      </c>
      <c r="F42" s="129" t="s">
        <v>381</v>
      </c>
      <c r="G42" s="53">
        <f>G39+G33</f>
        <v>265</v>
      </c>
      <c r="H42" s="53">
        <f>H39+H33</f>
        <v>186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863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44286</v>
      </c>
      <c r="C48" s="427" t="s">
        <v>382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22">
      <pane xSplit="1" topLeftCell="B1" activePane="topRight" state="frozen"/>
      <selection pane="topLeft" activeCell="A1" sqref="A1"/>
      <selection pane="topRight"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БГ  АГРО  АД</v>
      </c>
      <c r="C4" s="541" t="s">
        <v>2</v>
      </c>
      <c r="D4" s="541">
        <f>'справка №1-БАЛАНС'!H3</f>
        <v>148111353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44286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159</v>
      </c>
      <c r="D10" s="54">
        <v>116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-79</f>
        <v>-79</v>
      </c>
      <c r="D11" s="54">
        <f>-59</f>
        <v>-59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-106</f>
        <v>-106</v>
      </c>
      <c r="D13" s="54">
        <f>-108</f>
        <v>-108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-6</f>
        <v>-6</v>
      </c>
      <c r="D14" s="54">
        <f>-16</f>
        <v>-16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f>-1</f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-32</v>
      </c>
      <c r="D20" s="55">
        <f>SUM(D10:D19)</f>
        <v>-68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f>-22</f>
        <v>-22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f>-190</f>
        <v>-190</v>
      </c>
      <c r="D24" s="54">
        <f>-261</f>
        <v>-261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4.25" customHeight="1">
      <c r="A25" s="332" t="s">
        <v>416</v>
      </c>
      <c r="B25" s="333" t="s">
        <v>417</v>
      </c>
      <c r="C25" s="54">
        <v>210</v>
      </c>
      <c r="D25" s="54">
        <v>290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35</v>
      </c>
      <c r="D26" s="54">
        <v>43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33</v>
      </c>
      <c r="D32" s="55">
        <f>SUM(D22:D31)</f>
        <v>72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</v>
      </c>
      <c r="D43" s="55">
        <f>D42+D32+D20</f>
        <v>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</v>
      </c>
      <c r="D44" s="132">
        <v>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</v>
      </c>
      <c r="D45" s="55">
        <f>D44+D43</f>
        <v>10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17</v>
      </c>
      <c r="D46" s="56">
        <v>10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C10">
      <selection activeCell="I17" sqref="I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460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БГ  АГРО 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148111353</v>
      </c>
      <c r="N3" s="2"/>
    </row>
    <row r="4" spans="1:15" s="532" customFormat="1" ht="14.25" customHeight="1">
      <c r="A4" s="467" t="s">
        <v>461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>
        <f>'справка №1-БАЛАНС'!E5</f>
        <v>44286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3.2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3901</v>
      </c>
      <c r="G11" s="58">
        <f>'справка №1-БАЛАНС'!H23</f>
        <v>0</v>
      </c>
      <c r="H11" s="60"/>
      <c r="I11" s="58">
        <f>'справка №1-БАЛАНС'!H28+'справка №1-БАЛАНС'!H31</f>
        <v>6793</v>
      </c>
      <c r="J11" s="58">
        <f>'справка №1-БАЛАНС'!H29+'справка №1-БАЛАНС'!H32</f>
        <v>0</v>
      </c>
      <c r="K11" s="60"/>
      <c r="L11" s="344">
        <f>SUM(C11:K11)</f>
        <v>51051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3901</v>
      </c>
      <c r="G15" s="61">
        <f t="shared" si="2"/>
        <v>0</v>
      </c>
      <c r="H15" s="61">
        <f t="shared" si="2"/>
        <v>0</v>
      </c>
      <c r="I15" s="61">
        <f t="shared" si="2"/>
        <v>6793</v>
      </c>
      <c r="J15" s="61">
        <f t="shared" si="2"/>
        <v>0</v>
      </c>
      <c r="K15" s="61">
        <f t="shared" si="2"/>
        <v>0</v>
      </c>
      <c r="L15" s="344">
        <f t="shared" si="1"/>
        <v>51051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91</v>
      </c>
      <c r="J16" s="345">
        <f>+'справка №1-БАЛАНС'!G32</f>
        <v>0</v>
      </c>
      <c r="K16" s="60"/>
      <c r="L16" s="344">
        <f t="shared" si="1"/>
        <v>91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0</v>
      </c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3.2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3901</v>
      </c>
      <c r="G29" s="59">
        <f t="shared" si="6"/>
        <v>0</v>
      </c>
      <c r="H29" s="59">
        <f t="shared" si="6"/>
        <v>0</v>
      </c>
      <c r="I29" s="59">
        <f t="shared" si="6"/>
        <v>6884</v>
      </c>
      <c r="J29" s="59">
        <f t="shared" si="6"/>
        <v>0</v>
      </c>
      <c r="K29" s="59">
        <f t="shared" si="6"/>
        <v>0</v>
      </c>
      <c r="L29" s="344">
        <f t="shared" si="1"/>
        <v>51142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3901</v>
      </c>
      <c r="G32" s="59">
        <f t="shared" si="7"/>
        <v>0</v>
      </c>
      <c r="H32" s="59">
        <f t="shared" si="7"/>
        <v>0</v>
      </c>
      <c r="I32" s="59">
        <f t="shared" si="7"/>
        <v>6884</v>
      </c>
      <c r="J32" s="59">
        <f t="shared" si="7"/>
        <v>0</v>
      </c>
      <c r="K32" s="59">
        <f t="shared" si="7"/>
        <v>0</v>
      </c>
      <c r="L32" s="344">
        <f t="shared" si="1"/>
        <v>51142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864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522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13">
      <selection activeCell="E25" sqref="E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7.25" customHeight="1">
      <c r="A2" s="610" t="s">
        <v>384</v>
      </c>
      <c r="B2" s="611"/>
      <c r="C2" s="612" t="str">
        <f>'справка №1-БАЛАНС'!E3</f>
        <v>БГ  АГРО 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148111353</v>
      </c>
      <c r="P2" s="483"/>
      <c r="Q2" s="483"/>
      <c r="R2" s="526"/>
    </row>
    <row r="3" spans="1:18" ht="15">
      <c r="A3" s="610" t="s">
        <v>5</v>
      </c>
      <c r="B3" s="611"/>
      <c r="C3" s="613">
        <f>'справка №1-БАЛАНС'!E5</f>
        <v>44286</v>
      </c>
      <c r="D3" s="613"/>
      <c r="E3" s="613"/>
      <c r="F3" s="485"/>
      <c r="G3" s="485"/>
      <c r="H3" s="485"/>
      <c r="I3" s="485"/>
      <c r="J3" s="485"/>
      <c r="K3" s="485"/>
      <c r="L3" s="485"/>
      <c r="M3" s="614" t="s">
        <v>4</v>
      </c>
      <c r="N3" s="61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9" t="s">
        <v>464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22</v>
      </c>
      <c r="E11" s="189"/>
      <c r="F11" s="189"/>
      <c r="G11" s="74">
        <f t="shared" si="2"/>
        <v>22</v>
      </c>
      <c r="H11" s="65"/>
      <c r="I11" s="65"/>
      <c r="J11" s="74">
        <f t="shared" si="3"/>
        <v>22</v>
      </c>
      <c r="K11" s="65">
        <v>22</v>
      </c>
      <c r="L11" s="65"/>
      <c r="M11" s="65"/>
      <c r="N11" s="74">
        <f t="shared" si="4"/>
        <v>22</v>
      </c>
      <c r="O11" s="65"/>
      <c r="P11" s="65"/>
      <c r="Q11" s="74">
        <f t="shared" si="0"/>
        <v>22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</v>
      </c>
      <c r="E14" s="189"/>
      <c r="F14" s="189"/>
      <c r="G14" s="74">
        <f t="shared" si="2"/>
        <v>14</v>
      </c>
      <c r="H14" s="65"/>
      <c r="I14" s="65"/>
      <c r="J14" s="74">
        <f t="shared" si="3"/>
        <v>14</v>
      </c>
      <c r="K14" s="65">
        <v>7</v>
      </c>
      <c r="L14" s="65">
        <v>1</v>
      </c>
      <c r="M14" s="65"/>
      <c r="N14" s="74">
        <f t="shared" si="4"/>
        <v>8</v>
      </c>
      <c r="O14" s="65"/>
      <c r="P14" s="65"/>
      <c r="Q14" s="74">
        <f t="shared" si="0"/>
        <v>8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14</v>
      </c>
      <c r="E16" s="189"/>
      <c r="F16" s="189"/>
      <c r="G16" s="74">
        <f t="shared" si="2"/>
        <v>14</v>
      </c>
      <c r="H16" s="65"/>
      <c r="I16" s="65"/>
      <c r="J16" s="74">
        <f t="shared" si="3"/>
        <v>14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50</v>
      </c>
      <c r="E17" s="194">
        <f>SUM(E9:E16)</f>
        <v>0</v>
      </c>
      <c r="F17" s="194">
        <f>SUM(F9:F16)</f>
        <v>0</v>
      </c>
      <c r="G17" s="74">
        <f t="shared" si="2"/>
        <v>50</v>
      </c>
      <c r="H17" s="75">
        <f>SUM(H9:H16)</f>
        <v>0</v>
      </c>
      <c r="I17" s="75">
        <f>SUM(I9:I16)</f>
        <v>0</v>
      </c>
      <c r="J17" s="74">
        <f t="shared" si="3"/>
        <v>50</v>
      </c>
      <c r="K17" s="75">
        <f>SUM(K9:K16)</f>
        <v>29</v>
      </c>
      <c r="L17" s="75">
        <f>SUM(L9:L16)</f>
        <v>1</v>
      </c>
      <c r="M17" s="75">
        <f>SUM(M9:M16)</f>
        <v>0</v>
      </c>
      <c r="N17" s="74">
        <f t="shared" si="4"/>
        <v>30</v>
      </c>
      <c r="O17" s="75">
        <f>SUM(O9:O16)</f>
        <v>0</v>
      </c>
      <c r="P17" s="75">
        <f>SUM(P9:P16)</f>
        <v>0</v>
      </c>
      <c r="Q17" s="74">
        <f t="shared" si="5"/>
        <v>30</v>
      </c>
      <c r="R17" s="74">
        <f t="shared" si="6"/>
        <v>20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6</v>
      </c>
      <c r="E21" s="189"/>
      <c r="F21" s="189"/>
      <c r="G21" s="74">
        <f t="shared" si="2"/>
        <v>6</v>
      </c>
      <c r="H21" s="65"/>
      <c r="I21" s="65"/>
      <c r="J21" s="74">
        <f t="shared" si="3"/>
        <v>6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125</v>
      </c>
      <c r="E22" s="189"/>
      <c r="F22" s="189"/>
      <c r="G22" s="74">
        <f t="shared" si="2"/>
        <v>125</v>
      </c>
      <c r="H22" s="65"/>
      <c r="I22" s="65"/>
      <c r="J22" s="74">
        <f t="shared" si="3"/>
        <v>125</v>
      </c>
      <c r="K22" s="65">
        <v>46</v>
      </c>
      <c r="L22" s="65">
        <v>3</v>
      </c>
      <c r="M22" s="65"/>
      <c r="N22" s="74">
        <f t="shared" si="4"/>
        <v>49</v>
      </c>
      <c r="O22" s="65"/>
      <c r="P22" s="65"/>
      <c r="Q22" s="74">
        <f t="shared" si="5"/>
        <v>49</v>
      </c>
      <c r="R22" s="74">
        <f t="shared" si="6"/>
        <v>76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428</v>
      </c>
      <c r="E24" s="189">
        <v>18</v>
      </c>
      <c r="F24" s="189"/>
      <c r="G24" s="74">
        <f t="shared" si="2"/>
        <v>446</v>
      </c>
      <c r="H24" s="65"/>
      <c r="I24" s="65"/>
      <c r="J24" s="74">
        <f t="shared" si="3"/>
        <v>446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446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559</v>
      </c>
      <c r="E25" s="190">
        <f aca="true" t="shared" si="7" ref="E25:P25">SUM(E21:E24)</f>
        <v>18</v>
      </c>
      <c r="F25" s="190">
        <f t="shared" si="7"/>
        <v>0</v>
      </c>
      <c r="G25" s="67">
        <f t="shared" si="2"/>
        <v>577</v>
      </c>
      <c r="H25" s="66">
        <f t="shared" si="7"/>
        <v>0</v>
      </c>
      <c r="I25" s="66">
        <f t="shared" si="7"/>
        <v>0</v>
      </c>
      <c r="J25" s="67">
        <f t="shared" si="3"/>
        <v>577</v>
      </c>
      <c r="K25" s="66">
        <f t="shared" si="7"/>
        <v>46</v>
      </c>
      <c r="L25" s="66">
        <f t="shared" si="7"/>
        <v>3</v>
      </c>
      <c r="M25" s="66">
        <f t="shared" si="7"/>
        <v>0</v>
      </c>
      <c r="N25" s="67">
        <f t="shared" si="4"/>
        <v>49</v>
      </c>
      <c r="O25" s="66">
        <f t="shared" si="7"/>
        <v>0</v>
      </c>
      <c r="P25" s="66">
        <f t="shared" si="7"/>
        <v>0</v>
      </c>
      <c r="Q25" s="67">
        <f t="shared" si="5"/>
        <v>49</v>
      </c>
      <c r="R25" s="67">
        <f t="shared" si="6"/>
        <v>528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42151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42151</v>
      </c>
      <c r="H27" s="70">
        <f t="shared" si="8"/>
        <v>0</v>
      </c>
      <c r="I27" s="70">
        <f t="shared" si="8"/>
        <v>0</v>
      </c>
      <c r="J27" s="71">
        <f t="shared" si="3"/>
        <v>42151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42151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42151</v>
      </c>
      <c r="E28" s="189"/>
      <c r="F28" s="189"/>
      <c r="G28" s="74">
        <f t="shared" si="2"/>
        <v>42151</v>
      </c>
      <c r="H28" s="65"/>
      <c r="I28" s="65"/>
      <c r="J28" s="74">
        <f t="shared" si="3"/>
        <v>42151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42151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42151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42151</v>
      </c>
      <c r="H38" s="75">
        <f t="shared" si="12"/>
        <v>0</v>
      </c>
      <c r="I38" s="75">
        <f t="shared" si="12"/>
        <v>0</v>
      </c>
      <c r="J38" s="74">
        <f t="shared" si="3"/>
        <v>42151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42151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42760</v>
      </c>
      <c r="E40" s="438">
        <f>E17+E18+E19+E25+E38+E39</f>
        <v>18</v>
      </c>
      <c r="F40" s="438">
        <f aca="true" t="shared" si="13" ref="F40:R40">F17+F18+F19+F25+F38+F39</f>
        <v>0</v>
      </c>
      <c r="G40" s="438">
        <f t="shared" si="13"/>
        <v>42778</v>
      </c>
      <c r="H40" s="438">
        <f t="shared" si="13"/>
        <v>0</v>
      </c>
      <c r="I40" s="438">
        <f t="shared" si="13"/>
        <v>0</v>
      </c>
      <c r="J40" s="438">
        <f t="shared" si="13"/>
        <v>42778</v>
      </c>
      <c r="K40" s="438">
        <f t="shared" si="13"/>
        <v>75</v>
      </c>
      <c r="L40" s="438">
        <f t="shared" si="13"/>
        <v>4</v>
      </c>
      <c r="M40" s="438">
        <f t="shared" si="13"/>
        <v>0</v>
      </c>
      <c r="N40" s="438">
        <f t="shared" si="13"/>
        <v>79</v>
      </c>
      <c r="O40" s="438">
        <f t="shared" si="13"/>
        <v>0</v>
      </c>
      <c r="P40" s="438">
        <f t="shared" si="13"/>
        <v>0</v>
      </c>
      <c r="Q40" s="438">
        <f t="shared" si="13"/>
        <v>79</v>
      </c>
      <c r="R40" s="438">
        <f t="shared" si="13"/>
        <v>42699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5"/>
      <c r="L44" s="605"/>
      <c r="M44" s="605"/>
      <c r="N44" s="605"/>
      <c r="O44" s="606" t="s">
        <v>782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1">
      <selection activeCell="B35" sqref="B3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610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4.25" customHeight="1">
      <c r="A3" s="493" t="s">
        <v>384</v>
      </c>
      <c r="B3" s="621" t="str">
        <f>'справка №1-БАЛАНС'!E3</f>
        <v>БГ  АГРО  АД</v>
      </c>
      <c r="C3" s="622"/>
      <c r="D3" s="526" t="s">
        <v>2</v>
      </c>
      <c r="E3" s="107">
        <f>'справка №1-БАЛАНС'!H3</f>
        <v>148111353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44286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8145</v>
      </c>
      <c r="D11" s="119">
        <f>SUM(D12:D14)</f>
        <v>0</v>
      </c>
      <c r="E11" s="120">
        <f>SUM(E12:E14)</f>
        <v>8145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8145</v>
      </c>
      <c r="D12" s="108"/>
      <c r="E12" s="120">
        <f aca="true" t="shared" si="0" ref="E12:E42">C12-D12</f>
        <v>8145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8145</v>
      </c>
      <c r="D19" s="104">
        <f>D11+D15+D16</f>
        <v>0</v>
      </c>
      <c r="E19" s="118">
        <f>E11+E15+E16</f>
        <v>8145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12</v>
      </c>
      <c r="D21" s="108"/>
      <c r="E21" s="120">
        <f t="shared" si="0"/>
        <v>12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599</v>
      </c>
      <c r="D24" s="119">
        <f>SUM(D25:D27)</f>
        <v>599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513</v>
      </c>
      <c r="D25" s="108">
        <v>513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</v>
      </c>
      <c r="D26" s="108">
        <v>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80</v>
      </c>
      <c r="D27" s="108">
        <v>80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599</v>
      </c>
      <c r="D43" s="104">
        <f>D24+D28+D29+D31+D30+D32+D33+D38</f>
        <v>599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8756</v>
      </c>
      <c r="D44" s="103">
        <f>D43+D21+D19+D9</f>
        <v>599</v>
      </c>
      <c r="E44" s="118">
        <f>E43+E21+E19+E9</f>
        <v>8157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337</v>
      </c>
      <c r="D71" s="105">
        <f>SUM(D72:D74)</f>
        <v>337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337</v>
      </c>
      <c r="D72" s="108">
        <v>337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53</v>
      </c>
      <c r="D85" s="104">
        <f>SUM(D86:D90)+D94</f>
        <v>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</v>
      </c>
      <c r="D87" s="108">
        <v>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32</v>
      </c>
      <c r="D89" s="108">
        <v>32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</v>
      </c>
      <c r="D91" s="108">
        <v>1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4</v>
      </c>
      <c r="D92" s="108">
        <v>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7</v>
      </c>
      <c r="D94" s="108">
        <v>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390</v>
      </c>
      <c r="D96" s="104">
        <f>D85+D80+D75+D71+D95</f>
        <v>390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390</v>
      </c>
      <c r="D97" s="104">
        <f>D96+D68+D66</f>
        <v>390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781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872</v>
      </c>
      <c r="B109" s="616"/>
      <c r="C109" s="616" t="s">
        <v>382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3" t="str">
        <f>'справка №1-БАЛАНС'!E3</f>
        <v>БГ  АГРО 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148111353</v>
      </c>
    </row>
    <row r="5" spans="1:9" ht="15">
      <c r="A5" s="501" t="s">
        <v>5</v>
      </c>
      <c r="B5" s="624">
        <f>'справка №1-БАЛАНС'!E5</f>
        <v>44286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0" t="str">
        <f>'справка №1-БАЛАНС'!E3</f>
        <v>БГ  АГРО  АД</v>
      </c>
      <c r="C5" s="630"/>
      <c r="D5" s="630"/>
      <c r="E5" s="570" t="s">
        <v>2</v>
      </c>
      <c r="F5" s="451">
        <f>'справка №1-БАЛАНС'!H3</f>
        <v>148111353</v>
      </c>
    </row>
    <row r="6" spans="1:13" ht="15" customHeight="1">
      <c r="A6" s="27" t="s">
        <v>823</v>
      </c>
      <c r="B6" s="631">
        <f>'справка №1-БАЛАНС'!E5</f>
        <v>44286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33677</v>
      </c>
      <c r="D12" s="441">
        <v>100</v>
      </c>
      <c r="E12" s="441"/>
      <c r="F12" s="443">
        <f>C12-E12</f>
        <v>33677</v>
      </c>
    </row>
    <row r="13" spans="1:6" ht="12.75">
      <c r="A13" s="36" t="s">
        <v>868</v>
      </c>
      <c r="B13" s="37"/>
      <c r="C13" s="441">
        <v>38</v>
      </c>
      <c r="D13" s="441">
        <v>100</v>
      </c>
      <c r="E13" s="441"/>
      <c r="F13" s="443">
        <f aca="true" t="shared" si="0" ref="F13:F26">C13-E13</f>
        <v>38</v>
      </c>
    </row>
    <row r="14" spans="1:6" ht="12.75">
      <c r="A14" s="36" t="s">
        <v>869</v>
      </c>
      <c r="B14" s="37"/>
      <c r="C14" s="441">
        <v>30</v>
      </c>
      <c r="D14" s="441">
        <v>100</v>
      </c>
      <c r="E14" s="441"/>
      <c r="F14" s="443">
        <f t="shared" si="0"/>
        <v>30</v>
      </c>
    </row>
    <row r="15" spans="1:6" ht="12.75">
      <c r="A15" s="36" t="s">
        <v>870</v>
      </c>
      <c r="B15" s="37"/>
      <c r="C15" s="441">
        <v>7104</v>
      </c>
      <c r="D15" s="441">
        <v>100</v>
      </c>
      <c r="E15" s="441"/>
      <c r="F15" s="443">
        <f t="shared" si="0"/>
        <v>7104</v>
      </c>
    </row>
    <row r="16" spans="1:6" ht="12.75">
      <c r="A16" s="36" t="s">
        <v>871</v>
      </c>
      <c r="B16" s="37"/>
      <c r="C16" s="441">
        <v>1302</v>
      </c>
      <c r="D16" s="441">
        <v>100</v>
      </c>
      <c r="E16" s="441"/>
      <c r="F16" s="443">
        <f t="shared" si="0"/>
        <v>1302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42151</v>
      </c>
      <c r="D27" s="429"/>
      <c r="E27" s="429">
        <f>SUM(E12:E26)</f>
        <v>0</v>
      </c>
      <c r="F27" s="442">
        <f>SUM(F12:F26)</f>
        <v>42151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7.2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8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42151</v>
      </c>
      <c r="D79" s="429"/>
      <c r="E79" s="429">
        <f>E78+E61+E44+E27</f>
        <v>0</v>
      </c>
      <c r="F79" s="442">
        <f>F78+F61+F44+F27</f>
        <v>42151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20.2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20.2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2" t="s">
        <v>850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858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L13:L25"/>
  <sheetViews>
    <sheetView zoomScalePageLayoutView="0" workbookViewId="0" topLeftCell="A1">
      <selection activeCell="L25" sqref="L25"/>
    </sheetView>
  </sheetViews>
  <sheetFormatPr defaultColWidth="9.00390625" defaultRowHeight="12.75"/>
  <sheetData>
    <row r="13" ht="15.75">
      <c r="L13" s="576"/>
    </row>
    <row r="14" ht="15.75">
      <c r="L14" s="576"/>
    </row>
    <row r="15" ht="15.75">
      <c r="L15" s="576"/>
    </row>
    <row r="16" ht="15.75">
      <c r="L16" s="576"/>
    </row>
    <row r="17" ht="15.75">
      <c r="L17" s="576"/>
    </row>
    <row r="18" ht="15.75">
      <c r="L18" s="576"/>
    </row>
    <row r="19" ht="15.75">
      <c r="L19" s="576"/>
    </row>
    <row r="20" ht="15.75">
      <c r="L20" s="576"/>
    </row>
    <row r="21" ht="15.75">
      <c r="L21" s="576"/>
    </row>
    <row r="22" ht="15.75">
      <c r="L22" s="576"/>
    </row>
    <row r="23" ht="15.75">
      <c r="L23" s="576"/>
    </row>
    <row r="24" ht="16.5" thickBot="1">
      <c r="L24" s="576"/>
    </row>
    <row r="25" ht="16.5" thickBot="1">
      <c r="L25" s="577"/>
    </row>
    <row r="26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Angelina Pavlova</cp:lastModifiedBy>
  <cp:lastPrinted>2019-10-28T13:24:29Z</cp:lastPrinted>
  <dcterms:created xsi:type="dcterms:W3CDTF">2000-06-29T12:02:40Z</dcterms:created>
  <dcterms:modified xsi:type="dcterms:W3CDTF">2021-04-16T19:58:20Z</dcterms:modified>
  <cp:category/>
  <cp:version/>
  <cp:contentType/>
  <cp:contentStatus/>
</cp:coreProperties>
</file>