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4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<sst xmlns="http://schemas.openxmlformats.org/spreadsheetml/2006/main" count="1870" uniqueCount="666">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</sst>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45199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45259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Булконсулт ЕООД Теодора Николаева Василева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45199</v>
      </c>
    </row>
    <row r="11" spans="1:2" ht="15.75">
      <c r="A11" s="7" t="s">
        <v>638</v>
      </c>
      <c r="B11" s="315">
        <v>45259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432" t="s">
        <v>654</v>
      </c>
    </row>
    <row r="15" spans="1:2" ht="15.75">
      <c r="A15" s="10" t="s">
        <v>630</v>
      </c>
      <c r="B15" s="433" t="s">
        <v>637</v>
      </c>
    </row>
    <row r="16" spans="1:2" ht="15.75">
      <c r="A16" s="7" t="s">
        <v>3</v>
      </c>
      <c r="B16" s="432" t="s">
        <v>655</v>
      </c>
    </row>
    <row r="17" spans="1:2" ht="15.75">
      <c r="A17" s="7" t="s">
        <v>586</v>
      </c>
      <c r="B17" s="432" t="s">
        <v>656</v>
      </c>
    </row>
    <row r="18" spans="1:2" ht="15.75">
      <c r="A18" s="7" t="s">
        <v>585</v>
      </c>
      <c r="B18" s="432" t="s">
        <v>657</v>
      </c>
    </row>
    <row r="19" spans="1:2" ht="15.75">
      <c r="A19" s="7" t="s">
        <v>4</v>
      </c>
      <c r="B19" s="432" t="s">
        <v>658</v>
      </c>
    </row>
    <row r="20" spans="1:2" ht="15.75">
      <c r="A20" s="7" t="s">
        <v>5</v>
      </c>
      <c r="B20" s="432" t="s">
        <v>658</v>
      </c>
    </row>
    <row r="21" spans="1:2" ht="15.75">
      <c r="A21" s="10" t="s">
        <v>6</v>
      </c>
      <c r="B21" s="433" t="s">
        <v>659</v>
      </c>
    </row>
    <row r="22" spans="1:2" ht="15.75">
      <c r="A22" s="10" t="s">
        <v>583</v>
      </c>
      <c r="B22" s="433" t="s">
        <v>660</v>
      </c>
    </row>
    <row r="23" spans="1:2" ht="15.75">
      <c r="A23" s="10" t="s">
        <v>7</v>
      </c>
      <c r="B23" s="434" t="s">
        <v>661</v>
      </c>
    </row>
    <row r="24" spans="1:2" ht="15.75">
      <c r="A24" s="10" t="s">
        <v>584</v>
      </c>
      <c r="B24" s="435" t="s">
        <v>662</v>
      </c>
    </row>
    <row r="25" spans="1:2" ht="15.75">
      <c r="A25" s="7" t="s">
        <v>587</v>
      </c>
      <c r="B25" s="436" t="s">
        <v>663</v>
      </c>
    </row>
    <row r="26" spans="1:2" ht="15.75">
      <c r="A26" s="10" t="s">
        <v>631</v>
      </c>
      <c r="B26" s="433" t="s">
        <v>664</v>
      </c>
    </row>
    <row r="27" spans="1:2" ht="15.75">
      <c r="A27" s="10" t="s">
        <v>632</v>
      </c>
      <c r="B27" s="433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26413</v>
      </c>
      <c r="D12" s="118">
        <v>26131</v>
      </c>
      <c r="E12" s="66" t="s">
        <v>25</v>
      </c>
      <c r="F12" s="69" t="s">
        <v>26</v>
      </c>
      <c r="G12" s="119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13461</v>
      </c>
      <c r="D13" s="118">
        <v>13550</v>
      </c>
      <c r="E13" s="66" t="s">
        <v>525</v>
      </c>
      <c r="F13" s="69" t="s">
        <v>29</v>
      </c>
      <c r="G13" s="119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29196</v>
      </c>
      <c r="D14" s="118">
        <v>27458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2301</v>
      </c>
      <c r="D16" s="118">
        <v>2526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1611</v>
      </c>
      <c r="D17" s="118">
        <v>1281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293</v>
      </c>
      <c r="D18" s="118">
        <v>1291</v>
      </c>
      <c r="E18" s="249" t="s">
        <v>47</v>
      </c>
      <c r="F18" s="248" t="s">
        <v>48</v>
      </c>
      <c r="G18" s="345">
        <f>G12+G15+G16+G17</f>
        <v>40357</v>
      </c>
      <c r="H18" s="346">
        <f>H12+H15+H16+H17</f>
        <v>40357</v>
      </c>
    </row>
    <row r="19" spans="1:8" ht="15.75">
      <c r="A19" s="66" t="s">
        <v>49</v>
      </c>
      <c r="B19" s="68" t="s">
        <v>50</v>
      </c>
      <c r="C19" s="119">
        <v>16755</v>
      </c>
      <c r="D19" s="118">
        <v>19855</v>
      </c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90030</v>
      </c>
      <c r="D20" s="334">
        <f>SUM(D12:D19)</f>
        <v>92092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668</v>
      </c>
      <c r="D22" s="245">
        <v>681</v>
      </c>
      <c r="E22" s="123" t="s">
        <v>62</v>
      </c>
      <c r="F22" s="69" t="s">
        <v>63</v>
      </c>
      <c r="G22" s="349">
        <f>SUM(G23:G25)</f>
        <v>4036</v>
      </c>
      <c r="H22" s="350">
        <f>SUM(H23:H25)</f>
        <v>3927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4036</v>
      </c>
      <c r="H23" s="118">
        <v>3927</v>
      </c>
    </row>
    <row r="24" spans="1:13" ht="15.75">
      <c r="A24" s="66" t="s">
        <v>67</v>
      </c>
      <c r="B24" s="68" t="s">
        <v>68</v>
      </c>
      <c r="C24" s="119">
        <v>220</v>
      </c>
      <c r="D24" s="118">
        <v>242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4036</v>
      </c>
      <c r="H26" s="334">
        <f>H20+H21+H22</f>
        <v>3927</v>
      </c>
      <c r="M26" s="74"/>
    </row>
    <row r="27" spans="1:8" ht="15.75">
      <c r="A27" s="66" t="s">
        <v>79</v>
      </c>
      <c r="B27" s="68" t="s">
        <v>80</v>
      </c>
      <c r="C27" s="119">
        <v>245</v>
      </c>
      <c r="D27" s="118">
        <v>242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465</v>
      </c>
      <c r="D28" s="334">
        <f>SUM(D24:D27)</f>
        <v>484</v>
      </c>
      <c r="E28" s="124" t="s">
        <v>84</v>
      </c>
      <c r="F28" s="69" t="s">
        <v>85</v>
      </c>
      <c r="G28" s="331">
        <f>SUM(G29:G31)</f>
        <v>33916</v>
      </c>
      <c r="H28" s="332">
        <f>SUM(H29:H31)</f>
        <v>28999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33916</v>
      </c>
      <c r="H29" s="118">
        <v>28999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8255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f>-4787</f>
        <v>-4787</v>
      </c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29129</v>
      </c>
      <c r="H34" s="334">
        <f>H28+H32+H33</f>
        <v>37254</v>
      </c>
    </row>
    <row r="35" spans="1:8" ht="15.7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73522</v>
      </c>
      <c r="H37" s="336">
        <f>H26+H18+H34</f>
        <v>81538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2746</v>
      </c>
      <c r="H45" s="118">
        <v>6318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10341</v>
      </c>
      <c r="H49" s="118">
        <v>12735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13087</v>
      </c>
      <c r="H50" s="332">
        <f>SUM(H44:H49)</f>
        <v>19053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>
        <v>120</v>
      </c>
      <c r="H52" s="118">
        <v>124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513</v>
      </c>
      <c r="H54" s="118">
        <v>513</v>
      </c>
    </row>
    <row r="55" spans="1:8" ht="15.75">
      <c r="A55" s="76" t="s">
        <v>166</v>
      </c>
      <c r="B55" s="72" t="s">
        <v>167</v>
      </c>
      <c r="C55" s="246">
        <v>359</v>
      </c>
      <c r="D55" s="247">
        <v>359</v>
      </c>
      <c r="E55" s="66" t="s">
        <v>168</v>
      </c>
      <c r="F55" s="71" t="s">
        <v>169</v>
      </c>
      <c r="G55" s="119">
        <v>128</v>
      </c>
      <c r="H55" s="118">
        <v>143</v>
      </c>
    </row>
    <row r="56" spans="1:13" ht="16.5" thickBot="1">
      <c r="A56" s="243" t="s">
        <v>170</v>
      </c>
      <c r="B56" s="130" t="s">
        <v>171</v>
      </c>
      <c r="C56" s="337">
        <f>C20+C21+C22+C28+C33+C46+C52+C54+C55</f>
        <v>91522</v>
      </c>
      <c r="D56" s="338">
        <f>D20+D21+D22+D28+D33+D46+D52+D54+D55</f>
        <v>93616</v>
      </c>
      <c r="E56" s="76" t="s">
        <v>529</v>
      </c>
      <c r="F56" s="75" t="s">
        <v>172</v>
      </c>
      <c r="G56" s="335">
        <f>G50+G52+G53+G54+G55</f>
        <v>13848</v>
      </c>
      <c r="H56" s="336">
        <f>H50+H52+H53+H54+H55</f>
        <v>19833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2357</v>
      </c>
      <c r="D59" s="118">
        <v>5803</v>
      </c>
      <c r="E59" s="123" t="s">
        <v>180</v>
      </c>
      <c r="F59" s="254" t="s">
        <v>181</v>
      </c>
      <c r="G59" s="119">
        <v>39932</v>
      </c>
      <c r="H59" s="118">
        <v>53882</v>
      </c>
    </row>
    <row r="60" spans="1:13" ht="15.75">
      <c r="A60" s="66" t="s">
        <v>178</v>
      </c>
      <c r="B60" s="68" t="s">
        <v>179</v>
      </c>
      <c r="C60" s="119">
        <v>19154</v>
      </c>
      <c r="D60" s="118">
        <v>23984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4692</v>
      </c>
      <c r="D61" s="118">
        <v>23607</v>
      </c>
      <c r="E61" s="122" t="s">
        <v>188</v>
      </c>
      <c r="F61" s="69" t="s">
        <v>189</v>
      </c>
      <c r="G61" s="331">
        <f>SUM(G62:G68)</f>
        <v>3200</v>
      </c>
      <c r="H61" s="332">
        <f>SUM(H62:H68)</f>
        <v>5978</v>
      </c>
    </row>
    <row r="62" spans="1:13" ht="15.75">
      <c r="A62" s="66" t="s">
        <v>186</v>
      </c>
      <c r="B62" s="70" t="s">
        <v>187</v>
      </c>
      <c r="C62" s="119">
        <v>3730</v>
      </c>
      <c r="D62" s="118">
        <v>8528</v>
      </c>
      <c r="E62" s="122" t="s">
        <v>192</v>
      </c>
      <c r="F62" s="69" t="s">
        <v>193</v>
      </c>
      <c r="G62" s="119">
        <v>61</v>
      </c>
      <c r="H62" s="118">
        <v>56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2125</v>
      </c>
      <c r="H64" s="118">
        <v>469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29933</v>
      </c>
      <c r="D65" s="334">
        <f>SUM(D59:D64)</f>
        <v>61922</v>
      </c>
      <c r="E65" s="66" t="s">
        <v>201</v>
      </c>
      <c r="F65" s="69" t="s">
        <v>202</v>
      </c>
      <c r="G65" s="119">
        <v>61</v>
      </c>
      <c r="H65" s="118">
        <v>3578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657</v>
      </c>
      <c r="H66" s="118">
        <v>837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213</v>
      </c>
      <c r="H67" s="118">
        <v>182</v>
      </c>
    </row>
    <row r="68" spans="1:8" ht="15.75">
      <c r="A68" s="66" t="s">
        <v>206</v>
      </c>
      <c r="B68" s="68" t="s">
        <v>207</v>
      </c>
      <c r="C68" s="119">
        <v>807</v>
      </c>
      <c r="D68" s="118">
        <v>254</v>
      </c>
      <c r="E68" s="66" t="s">
        <v>212</v>
      </c>
      <c r="F68" s="69" t="s">
        <v>213</v>
      </c>
      <c r="G68" s="119">
        <v>83</v>
      </c>
      <c r="H68" s="118">
        <v>856</v>
      </c>
    </row>
    <row r="69" spans="1:8" ht="15.75">
      <c r="A69" s="66" t="s">
        <v>210</v>
      </c>
      <c r="B69" s="68" t="s">
        <v>211</v>
      </c>
      <c r="C69" s="119">
        <v>8227</v>
      </c>
      <c r="D69" s="118">
        <v>6562</v>
      </c>
      <c r="E69" s="123" t="s">
        <v>79</v>
      </c>
      <c r="F69" s="69" t="s">
        <v>216</v>
      </c>
      <c r="G69" s="119">
        <v>4984</v>
      </c>
      <c r="H69" s="118">
        <v>4292</v>
      </c>
    </row>
    <row r="70" spans="1:8" ht="15.75">
      <c r="A70" s="66" t="s">
        <v>214</v>
      </c>
      <c r="B70" s="68" t="s">
        <v>215</v>
      </c>
      <c r="C70" s="119">
        <v>3317</v>
      </c>
      <c r="D70" s="118">
        <v>1368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143</v>
      </c>
      <c r="D71" s="118">
        <v>145</v>
      </c>
      <c r="E71" s="242" t="s">
        <v>47</v>
      </c>
      <c r="F71" s="71" t="s">
        <v>223</v>
      </c>
      <c r="G71" s="333">
        <f>G59+G60+G61+G69+G70</f>
        <v>48116</v>
      </c>
      <c r="H71" s="334">
        <f>H59+H60+H61+H69+H70</f>
        <v>64152</v>
      </c>
    </row>
    <row r="72" spans="1:8" ht="15.75">
      <c r="A72" s="66" t="s">
        <v>221</v>
      </c>
      <c r="B72" s="68" t="s">
        <v>222</v>
      </c>
      <c r="C72" s="119">
        <v>58</v>
      </c>
      <c r="D72" s="118">
        <v>90</v>
      </c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646</v>
      </c>
      <c r="D73" s="118">
        <v>1150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18</v>
      </c>
      <c r="D75" s="118">
        <v>13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13216</v>
      </c>
      <c r="D76" s="334">
        <f>SUM(D68:D75)</f>
        <v>9582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>
        <v>25</v>
      </c>
      <c r="H77" s="247">
        <v>31</v>
      </c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48141</v>
      </c>
      <c r="H79" s="336">
        <f>H71+H73+H75+H77</f>
        <v>64183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6</v>
      </c>
      <c r="D88" s="118">
        <v>9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200</v>
      </c>
      <c r="D89" s="118">
        <v>125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206</v>
      </c>
      <c r="D92" s="334">
        <f>SUM(D88:D91)</f>
        <v>134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>
        <v>634</v>
      </c>
      <c r="D93" s="247">
        <v>300</v>
      </c>
      <c r="E93" s="126"/>
      <c r="F93" s="79"/>
      <c r="G93" s="358"/>
      <c r="H93" s="359"/>
    </row>
    <row r="94" spans="1:13" ht="16.5" thickBot="1">
      <c r="A94" s="258" t="s">
        <v>263</v>
      </c>
      <c r="B94" s="147" t="s">
        <v>264</v>
      </c>
      <c r="C94" s="337">
        <f>C65+C76+C85+C92+C93</f>
        <v>43989</v>
      </c>
      <c r="D94" s="338">
        <f>D65+D76+D85+D92+D93</f>
        <v>71938</v>
      </c>
      <c r="E94" s="148"/>
      <c r="F94" s="149"/>
      <c r="G94" s="360"/>
      <c r="H94" s="361"/>
      <c r="M94" s="74"/>
    </row>
    <row r="95" spans="1:8" ht="32.25" thickBot="1">
      <c r="A95" s="255" t="s">
        <v>265</v>
      </c>
      <c r="B95" s="256" t="s">
        <v>266</v>
      </c>
      <c r="C95" s="339">
        <f>C94+C56</f>
        <v>135511</v>
      </c>
      <c r="D95" s="340">
        <f>D94+D56</f>
        <v>165554</v>
      </c>
      <c r="E95" s="150" t="s">
        <v>605</v>
      </c>
      <c r="F95" s="257" t="s">
        <v>268</v>
      </c>
      <c r="G95" s="339">
        <f>G37+G40+G56+G79</f>
        <v>135511</v>
      </c>
      <c r="H95" s="340">
        <f>H37+H40+H56+H79</f>
        <v>165554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8">
        <f>pdeReportingDate</f>
        <v>45259</v>
      </c>
      <c r="C98" s="438"/>
      <c r="D98" s="438"/>
      <c r="E98" s="438"/>
      <c r="F98" s="438"/>
      <c r="G98" s="438"/>
      <c r="H98" s="438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9" t="str">
        <f>authorName</f>
        <v>Булконсулт ЕООД Теодора Николаева Василева</v>
      </c>
      <c r="C100" s="439"/>
      <c r="D100" s="439"/>
      <c r="E100" s="439"/>
      <c r="F100" s="439"/>
      <c r="G100" s="439"/>
      <c r="H100" s="439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1" sqref="G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9040</v>
      </c>
      <c r="D12" s="238">
        <v>9939</v>
      </c>
      <c r="E12" s="116" t="s">
        <v>277</v>
      </c>
      <c r="F12" s="161" t="s">
        <v>278</v>
      </c>
      <c r="G12" s="237">
        <v>23905</v>
      </c>
      <c r="H12" s="238">
        <v>20400</v>
      </c>
    </row>
    <row r="13" spans="1:8" ht="15.75">
      <c r="A13" s="116" t="s">
        <v>279</v>
      </c>
      <c r="B13" s="112" t="s">
        <v>280</v>
      </c>
      <c r="C13" s="237">
        <v>4510</v>
      </c>
      <c r="D13" s="238">
        <v>6990</v>
      </c>
      <c r="E13" s="116" t="s">
        <v>281</v>
      </c>
      <c r="F13" s="161" t="s">
        <v>282</v>
      </c>
      <c r="G13" s="237">
        <v>69286</v>
      </c>
      <c r="H13" s="238">
        <v>73667</v>
      </c>
    </row>
    <row r="14" spans="1:8" ht="15.75">
      <c r="A14" s="116" t="s">
        <v>283</v>
      </c>
      <c r="B14" s="112" t="s">
        <v>284</v>
      </c>
      <c r="C14" s="237">
        <v>5942</v>
      </c>
      <c r="D14" s="238">
        <v>9712</v>
      </c>
      <c r="E14" s="166" t="s">
        <v>285</v>
      </c>
      <c r="F14" s="161" t="s">
        <v>286</v>
      </c>
      <c r="G14" s="237">
        <v>1613</v>
      </c>
      <c r="H14" s="238">
        <v>1812</v>
      </c>
    </row>
    <row r="15" spans="1:8" ht="15.75">
      <c r="A15" s="116" t="s">
        <v>287</v>
      </c>
      <c r="B15" s="112" t="s">
        <v>288</v>
      </c>
      <c r="C15" s="237">
        <v>7130</v>
      </c>
      <c r="D15" s="238">
        <v>6351</v>
      </c>
      <c r="E15" s="166" t="s">
        <v>79</v>
      </c>
      <c r="F15" s="161" t="s">
        <v>289</v>
      </c>
      <c r="G15" s="237">
        <v>616</v>
      </c>
      <c r="H15" s="238">
        <v>5648</v>
      </c>
    </row>
    <row r="16" spans="1:8" ht="15.75">
      <c r="A16" s="116" t="s">
        <v>290</v>
      </c>
      <c r="B16" s="112" t="s">
        <v>291</v>
      </c>
      <c r="C16" s="237">
        <v>1011</v>
      </c>
      <c r="D16" s="238">
        <v>905</v>
      </c>
      <c r="E16" s="157" t="s">
        <v>52</v>
      </c>
      <c r="F16" s="185" t="s">
        <v>292</v>
      </c>
      <c r="G16" s="364">
        <f>SUM(G12:G15)</f>
        <v>95420</v>
      </c>
      <c r="H16" s="365">
        <f>SUM(H12:H15)</f>
        <v>101527</v>
      </c>
    </row>
    <row r="17" spans="1:8" ht="31.5">
      <c r="A17" s="116" t="s">
        <v>293</v>
      </c>
      <c r="B17" s="112" t="s">
        <v>294</v>
      </c>
      <c r="C17" s="237">
        <v>65007</v>
      </c>
      <c r="D17" s="238">
        <v>62434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6677</v>
      </c>
      <c r="D18" s="238">
        <f>-9070</f>
        <v>-9070</v>
      </c>
      <c r="E18" s="155" t="s">
        <v>297</v>
      </c>
      <c r="F18" s="159" t="s">
        <v>298</v>
      </c>
      <c r="G18" s="375">
        <v>2698</v>
      </c>
      <c r="H18" s="376">
        <v>3043</v>
      </c>
    </row>
    <row r="19" spans="1:8" ht="15.75">
      <c r="A19" s="116" t="s">
        <v>299</v>
      </c>
      <c r="B19" s="112" t="s">
        <v>300</v>
      </c>
      <c r="C19" s="237">
        <v>3380</v>
      </c>
      <c r="D19" s="238">
        <v>629</v>
      </c>
      <c r="E19" s="116" t="s">
        <v>301</v>
      </c>
      <c r="F19" s="158" t="s">
        <v>302</v>
      </c>
      <c r="G19" s="237">
        <v>2698</v>
      </c>
      <c r="H19" s="238">
        <v>3043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102697</v>
      </c>
      <c r="D22" s="365">
        <f>SUM(D12:D18)+D19</f>
        <v>87890</v>
      </c>
      <c r="E22" s="116" t="s">
        <v>309</v>
      </c>
      <c r="F22" s="158" t="s">
        <v>310</v>
      </c>
      <c r="G22" s="237">
        <v>4</v>
      </c>
      <c r="H22" s="238">
        <v>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460</v>
      </c>
      <c r="H24" s="238">
        <v>3</v>
      </c>
    </row>
    <row r="25" spans="1:8" ht="31.5">
      <c r="A25" s="116" t="s">
        <v>316</v>
      </c>
      <c r="B25" s="158" t="s">
        <v>317</v>
      </c>
      <c r="C25" s="237">
        <v>595</v>
      </c>
      <c r="D25" s="238">
        <v>401</v>
      </c>
      <c r="E25" s="116" t="s">
        <v>318</v>
      </c>
      <c r="F25" s="158" t="s">
        <v>319</v>
      </c>
      <c r="G25" s="237">
        <v>1</v>
      </c>
      <c r="H25" s="238"/>
    </row>
    <row r="26" spans="1:8" ht="31.5">
      <c r="A26" s="116" t="s">
        <v>320</v>
      </c>
      <c r="B26" s="158" t="s">
        <v>321</v>
      </c>
      <c r="C26" s="237"/>
      <c r="D26" s="238">
        <v>46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</v>
      </c>
      <c r="D27" s="238">
        <v>4</v>
      </c>
      <c r="E27" s="157" t="s">
        <v>104</v>
      </c>
      <c r="F27" s="159" t="s">
        <v>326</v>
      </c>
      <c r="G27" s="364">
        <f>SUM(G22:G26)</f>
        <v>465</v>
      </c>
      <c r="H27" s="365">
        <f>SUM(H22:H26)</f>
        <v>8</v>
      </c>
    </row>
    <row r="28" spans="1:8" ht="15.75">
      <c r="A28" s="116" t="s">
        <v>79</v>
      </c>
      <c r="B28" s="158" t="s">
        <v>327</v>
      </c>
      <c r="C28" s="237">
        <v>76</v>
      </c>
      <c r="D28" s="238">
        <v>39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673</v>
      </c>
      <c r="D29" s="365">
        <f>SUM(D25:D28)</f>
        <v>490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103370</v>
      </c>
      <c r="D31" s="371">
        <f>D29+D22</f>
        <v>88380</v>
      </c>
      <c r="E31" s="172" t="s">
        <v>521</v>
      </c>
      <c r="F31" s="187" t="s">
        <v>331</v>
      </c>
      <c r="G31" s="174">
        <f>G16+G18+G27</f>
        <v>98583</v>
      </c>
      <c r="H31" s="175">
        <f>H16+H18+H27</f>
        <v>104578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16198</v>
      </c>
      <c r="E33" s="154" t="s">
        <v>334</v>
      </c>
      <c r="F33" s="159" t="s">
        <v>335</v>
      </c>
      <c r="G33" s="364">
        <f>IF((C31-G31)&gt;0,C31-G31,0)</f>
        <v>4787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103370</v>
      </c>
      <c r="D36" s="373">
        <f>D31-D34+D35</f>
        <v>88380</v>
      </c>
      <c r="E36" s="183" t="s">
        <v>346</v>
      </c>
      <c r="F36" s="177" t="s">
        <v>347</v>
      </c>
      <c r="G36" s="188">
        <f>G35-G34+G31</f>
        <v>98583</v>
      </c>
      <c r="H36" s="189">
        <f>H35-H34+H31</f>
        <v>104578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16198</v>
      </c>
      <c r="E37" s="182" t="s">
        <v>350</v>
      </c>
      <c r="F37" s="187" t="s">
        <v>351</v>
      </c>
      <c r="G37" s="174">
        <f>IF((C36-G36)&gt;0,C36-G36,0)</f>
        <v>4787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16198</v>
      </c>
      <c r="E42" s="168" t="s">
        <v>362</v>
      </c>
      <c r="F42" s="117" t="s">
        <v>363</v>
      </c>
      <c r="G42" s="162">
        <f>IF(G37&gt;0,IF(C38+G37&lt;0,0,C38+G37),IF(C37-C38&lt;0,C38-C37,0))</f>
        <v>4787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16198</v>
      </c>
      <c r="E44" s="183" t="s">
        <v>369</v>
      </c>
      <c r="F44" s="190" t="s">
        <v>370</v>
      </c>
      <c r="G44" s="188">
        <f>IF(C42=0,IF(G42-G43&gt;0,G42-G43+C43,0),IF(C42-C43&lt;0,C43-C42+G43,0))</f>
        <v>4787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103370</v>
      </c>
      <c r="D45" s="367">
        <f>D36+D38+D42</f>
        <v>104578</v>
      </c>
      <c r="E45" s="191" t="s">
        <v>373</v>
      </c>
      <c r="F45" s="193" t="s">
        <v>374</v>
      </c>
      <c r="G45" s="366">
        <f>G42+G36</f>
        <v>103370</v>
      </c>
      <c r="H45" s="367">
        <f>H42+H36</f>
        <v>104578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8">
        <f>pdeReportingDate</f>
        <v>45259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9" t="str">
        <f>authorName</f>
        <v>Булконсулт ЕООД Теодора Николаева Василева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7"/>
      <c r="B59" s="437"/>
      <c r="C59" s="437"/>
      <c r="D59" s="437"/>
      <c r="E59" s="437"/>
      <c r="F59" s="312"/>
      <c r="G59" s="37"/>
      <c r="H59" s="35"/>
    </row>
    <row r="60" spans="1:8" ht="15.75">
      <c r="A60" s="427"/>
      <c r="B60" s="437"/>
      <c r="C60" s="437"/>
      <c r="D60" s="437"/>
      <c r="E60" s="437"/>
      <c r="F60" s="312"/>
      <c r="G60" s="37"/>
      <c r="H60" s="35"/>
    </row>
    <row r="61" spans="1:8" ht="15.75">
      <c r="A61" s="427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87576</v>
      </c>
      <c r="D11" s="118">
        <v>95242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-55039</f>
        <v>-55039</v>
      </c>
      <c r="D12" s="118">
        <f>-77083</f>
        <v>-77083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-8057</f>
        <v>-8057</v>
      </c>
      <c r="D14" s="118">
        <f>-7072</f>
        <v>-7072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1527</v>
      </c>
      <c r="D15" s="118">
        <v>1881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-789</v>
      </c>
      <c r="D16" s="118">
        <f>-316</f>
        <v>-316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</f>
        <v>-1</v>
      </c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-45</f>
        <v>-45</v>
      </c>
      <c r="D20" s="118">
        <f>-92</f>
        <v>-92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25172</v>
      </c>
      <c r="D21" s="395">
        <f>SUM(D11:D20)</f>
        <v>12560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-3365</f>
        <v>-3365</v>
      </c>
      <c r="D23" s="118">
        <f>-4320</f>
        <v>-4320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161</v>
      </c>
      <c r="D24" s="118">
        <v>630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f>-403</f>
        <v>-403</v>
      </c>
      <c r="D25" s="118">
        <f>-6141</f>
        <v>-6141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262</v>
      </c>
      <c r="D26" s="118">
        <v>6136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4</v>
      </c>
      <c r="D27" s="118">
        <v>7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>
        <f>-146</f>
        <v>-146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f>-440</f>
        <v>-440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-3341</v>
      </c>
      <c r="D33" s="395">
        <f>SUM(D23:D32)</f>
        <v>-4274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73919</v>
      </c>
      <c r="D37" s="118">
        <v>88438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-91456</f>
        <v>-91456</v>
      </c>
      <c r="D38" s="118">
        <f>-88953</f>
        <v>-88953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-3085</f>
        <v>-3085</v>
      </c>
      <c r="D39" s="118">
        <f>-3278</f>
        <v>-3278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-572</f>
        <v>-572</v>
      </c>
      <c r="D40" s="118">
        <f>-388</f>
        <v>-388</v>
      </c>
      <c r="E40" s="99"/>
      <c r="F40" s="99"/>
    </row>
    <row r="41" spans="1:6" ht="15.75">
      <c r="A41" s="198" t="s">
        <v>435</v>
      </c>
      <c r="B41" s="100" t="s">
        <v>436</v>
      </c>
      <c r="C41" s="119">
        <f>-3229</f>
        <v>-3229</v>
      </c>
      <c r="D41" s="118">
        <f>-6457</f>
        <v>-6457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2664</v>
      </c>
      <c r="D42" s="118">
        <v>2780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-21759</v>
      </c>
      <c r="D43" s="397">
        <f>SUM(D35:D42)</f>
        <v>-7858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72</v>
      </c>
      <c r="D44" s="228">
        <f>D43+D33+D21</f>
        <v>428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134</v>
      </c>
      <c r="D45" s="230">
        <v>187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206</v>
      </c>
      <c r="D46" s="232">
        <f>D45+D44</f>
        <v>615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206</v>
      </c>
      <c r="D47" s="219">
        <v>615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8">
        <f>pdeReportingDate</f>
        <v>45259</v>
      </c>
      <c r="C54" s="438"/>
      <c r="D54" s="438"/>
      <c r="E54" s="438"/>
      <c r="F54" s="428"/>
      <c r="G54" s="428"/>
      <c r="H54" s="428"/>
      <c r="M54" s="74"/>
    </row>
    <row r="55" spans="1:13" s="35" customFormat="1" ht="15.7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6" t="s">
        <v>8</v>
      </c>
      <c r="B56" s="439" t="str">
        <f>authorName</f>
        <v>Булконсулт ЕООД Теодора Николаева Василева</v>
      </c>
      <c r="C56" s="439"/>
      <c r="D56" s="439"/>
      <c r="E56" s="439"/>
      <c r="F56" s="57"/>
      <c r="G56" s="57"/>
      <c r="H56" s="57"/>
    </row>
    <row r="57" spans="1:8" s="35" customFormat="1" ht="15.7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7"/>
      <c r="B63" s="437"/>
      <c r="C63" s="437"/>
      <c r="D63" s="437"/>
      <c r="E63" s="437"/>
      <c r="F63" s="312"/>
      <c r="G63" s="37"/>
      <c r="H63" s="35"/>
    </row>
    <row r="64" spans="1:8" ht="15.75">
      <c r="A64" s="427"/>
      <c r="B64" s="437"/>
      <c r="C64" s="437"/>
      <c r="D64" s="437"/>
      <c r="E64" s="437"/>
      <c r="F64" s="312"/>
      <c r="G64" s="37"/>
      <c r="H64" s="35"/>
    </row>
    <row r="65" spans="1:8" ht="15.75">
      <c r="A65" s="427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0">
        <f>'1-Баланс'!H18</f>
        <v>40357</v>
      </c>
      <c r="D13" s="320">
        <f>'1-Баланс'!H20</f>
        <v>0</v>
      </c>
      <c r="E13" s="320">
        <f>'1-Баланс'!H21</f>
        <v>0</v>
      </c>
      <c r="F13" s="320">
        <f>'1-Баланс'!H23</f>
        <v>3927</v>
      </c>
      <c r="G13" s="320">
        <f>'1-Баланс'!H24</f>
        <v>0</v>
      </c>
      <c r="H13" s="321"/>
      <c r="I13" s="320">
        <f>'1-Баланс'!H29+'1-Баланс'!H32</f>
        <v>37254</v>
      </c>
      <c r="J13" s="320">
        <f>'1-Баланс'!H30+'1-Баланс'!H33</f>
        <v>0</v>
      </c>
      <c r="K13" s="321"/>
      <c r="L13" s="320">
        <f>SUM(C13:K13)</f>
        <v>81538</v>
      </c>
      <c r="M13" s="322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0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40357</v>
      </c>
      <c r="D17" s="389">
        <f aca="true" t="shared" si="2" ref="D17:M17">D13+D14</f>
        <v>0</v>
      </c>
      <c r="E17" s="389">
        <f t="shared" si="2"/>
        <v>0</v>
      </c>
      <c r="F17" s="389">
        <f t="shared" si="2"/>
        <v>3927</v>
      </c>
      <c r="G17" s="389">
        <f t="shared" si="2"/>
        <v>0</v>
      </c>
      <c r="H17" s="389">
        <f t="shared" si="2"/>
        <v>0</v>
      </c>
      <c r="I17" s="389">
        <f t="shared" si="2"/>
        <v>37254</v>
      </c>
      <c r="J17" s="389">
        <f t="shared" si="2"/>
        <v>0</v>
      </c>
      <c r="K17" s="389">
        <f t="shared" si="2"/>
        <v>0</v>
      </c>
      <c r="L17" s="320">
        <f t="shared" si="1"/>
        <v>81538</v>
      </c>
      <c r="M17" s="390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-4787</v>
      </c>
      <c r="K18" s="321"/>
      <c r="L18" s="320">
        <f t="shared" si="1"/>
        <v>-4787</v>
      </c>
      <c r="M18" s="374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109</v>
      </c>
      <c r="G19" s="90">
        <f t="shared" si="3"/>
        <v>0</v>
      </c>
      <c r="H19" s="90">
        <f t="shared" si="3"/>
        <v>0</v>
      </c>
      <c r="I19" s="90">
        <f t="shared" si="3"/>
        <v>-3338</v>
      </c>
      <c r="J19" s="90">
        <f>J20+J21</f>
        <v>0</v>
      </c>
      <c r="K19" s="90">
        <f t="shared" si="3"/>
        <v>0</v>
      </c>
      <c r="L19" s="320">
        <f t="shared" si="1"/>
        <v>-3229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f>-3229</f>
        <v>-3229</v>
      </c>
      <c r="J20" s="237"/>
      <c r="K20" s="237"/>
      <c r="L20" s="320">
        <f>SUM(C20:K20)</f>
        <v>-3229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109</v>
      </c>
      <c r="G21" s="237"/>
      <c r="H21" s="237"/>
      <c r="I21" s="237">
        <f>-109</f>
        <v>-109</v>
      </c>
      <c r="J21" s="237"/>
      <c r="K21" s="237"/>
      <c r="L21" s="320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40357</v>
      </c>
      <c r="D31" s="389">
        <f aca="true" t="shared" si="6" ref="D31:M31">D19+D22+D23+D26+D30+D29+D17+D18</f>
        <v>0</v>
      </c>
      <c r="E31" s="389">
        <f t="shared" si="6"/>
        <v>0</v>
      </c>
      <c r="F31" s="389">
        <f t="shared" si="6"/>
        <v>4036</v>
      </c>
      <c r="G31" s="389">
        <f t="shared" si="6"/>
        <v>0</v>
      </c>
      <c r="H31" s="389">
        <f t="shared" si="6"/>
        <v>0</v>
      </c>
      <c r="I31" s="389">
        <f t="shared" si="6"/>
        <v>33916</v>
      </c>
      <c r="J31" s="389">
        <f t="shared" si="6"/>
        <v>-4787</v>
      </c>
      <c r="K31" s="389">
        <f t="shared" si="6"/>
        <v>0</v>
      </c>
      <c r="L31" s="320">
        <f t="shared" si="1"/>
        <v>73522</v>
      </c>
      <c r="M31" s="390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3">
        <f aca="true" t="shared" si="7" ref="C34:K34">C31+C32+C33</f>
        <v>40357</v>
      </c>
      <c r="D34" s="323">
        <f t="shared" si="7"/>
        <v>0</v>
      </c>
      <c r="E34" s="323">
        <f t="shared" si="7"/>
        <v>0</v>
      </c>
      <c r="F34" s="323">
        <f t="shared" si="7"/>
        <v>4036</v>
      </c>
      <c r="G34" s="323">
        <f t="shared" si="7"/>
        <v>0</v>
      </c>
      <c r="H34" s="323">
        <f t="shared" si="7"/>
        <v>0</v>
      </c>
      <c r="I34" s="323">
        <f t="shared" si="7"/>
        <v>33916</v>
      </c>
      <c r="J34" s="323">
        <f t="shared" si="7"/>
        <v>-4787</v>
      </c>
      <c r="K34" s="323">
        <f t="shared" si="7"/>
        <v>0</v>
      </c>
      <c r="L34" s="387">
        <f t="shared" si="1"/>
        <v>73522</v>
      </c>
      <c r="M34" s="324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8">
        <f>pdeReportingDate</f>
        <v>45259</v>
      </c>
      <c r="C38" s="438"/>
      <c r="D38" s="438"/>
      <c r="E38" s="438"/>
      <c r="F38" s="438"/>
      <c r="G38" s="438"/>
      <c r="H38" s="438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9" t="str">
        <f>authorName</f>
        <v>Булконсулт ЕООД Теодора Николаева Василева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7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БГ АГРО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135511</v>
      </c>
      <c r="D6" s="411">
        <f aca="true" t="shared" si="0" ref="D6:D15">C6-E6</f>
        <v>0</v>
      </c>
      <c r="E6" s="410">
        <f>'1-Баланс'!G95</f>
        <v>135511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73522</v>
      </c>
      <c r="D7" s="411">
        <f t="shared" si="0"/>
        <v>33165</v>
      </c>
      <c r="E7" s="410">
        <f>'1-Баланс'!G18</f>
        <v>40357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-4787</v>
      </c>
      <c r="D8" s="411">
        <f t="shared" si="0"/>
        <v>0</v>
      </c>
      <c r="E8" s="410">
        <f>ABS('2-Отчет за доходите'!C44)-ABS('2-Отчет за доходите'!G44)</f>
        <v>-4787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134</v>
      </c>
      <c r="D9" s="411">
        <f t="shared" si="0"/>
        <v>0</v>
      </c>
      <c r="E9" s="410">
        <f>'3-Отчет за паричния поток'!C45</f>
        <v>134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206</v>
      </c>
      <c r="D10" s="411">
        <f t="shared" si="0"/>
        <v>0</v>
      </c>
      <c r="E10" s="410">
        <f>'3-Отчет за паричния поток'!C46</f>
        <v>206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73522</v>
      </c>
      <c r="D11" s="411">
        <f t="shared" si="0"/>
        <v>0</v>
      </c>
      <c r="E11" s="410">
        <f>'4-Отчет за собствения капитал'!L34</f>
        <v>73522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-0.050167679731712427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-0.06510976306411687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-0.07722337834131862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-0.03532554552766934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0.9536906259069362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0.9137533495357387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0.2788060073533994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0.004279096819758626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0.004279096819758626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0.7879698751403845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0.7041494786401103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0.1584983403914387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0.8431353880471152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0.4574462589752861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595</v>
      </c>
      <c r="E21" s="429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0.008092815755828188</v>
      </c>
    </row>
    <row r="23" spans="1:4" ht="31.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0.06630960713307568</v>
      </c>
    </row>
    <row r="24" spans="1:4" ht="31.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9.482790270766406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6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26413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13461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29196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2301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1611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293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16755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90030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668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220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245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465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359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91522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2357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19154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4692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3730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29933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807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8227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3317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143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58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646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13216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200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206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634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43989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135511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4036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4036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4036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33916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33916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-4787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29129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73522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2746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10341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13087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120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513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128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13848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39932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3200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61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2125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61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657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213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83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4984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48116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25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48141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135511</v>
      </c>
    </row>
    <row r="126" spans="3:6" s="261" customFormat="1" ht="15.75">
      <c r="C126" s="316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9040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4510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5942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7130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1011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65007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6677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3380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102697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595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76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673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103370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103370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103370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23905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69286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1613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616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95420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2698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2698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460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465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98583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4787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98583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4787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4787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4787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103370</v>
      </c>
    </row>
    <row r="180" spans="3:6" s="261" customFormat="1" ht="15.75">
      <c r="C180" s="316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87576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-55039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-8057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1527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-789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-45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25172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-3365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161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-403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262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4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-3341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73919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-91456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-3085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-572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-3229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2664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-21759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72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134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206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206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6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7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7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7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7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7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7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7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7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7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7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7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7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7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7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7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7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7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7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7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7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7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7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7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7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7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7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7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7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7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7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7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7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7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7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7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7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7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7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7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7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7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7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7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7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7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7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7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7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7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7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7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7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7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7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7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7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7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7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7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7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7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7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7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7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7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3927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7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7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7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7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3927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7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7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109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7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7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109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7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7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7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7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7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7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7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7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7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7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4036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7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7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7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4036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7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7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7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7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7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7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7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7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7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7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7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7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7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7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7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7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7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7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7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7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7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7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7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7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7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7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7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7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7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7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7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7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7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7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7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7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7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7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7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7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7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7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7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7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37254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7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7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7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7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37254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7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7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-3338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7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-3229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7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-109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7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7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7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7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7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7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7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7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7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7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33916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7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7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7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33916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7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7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7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7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7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7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-4787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7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7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7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7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7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7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7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7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7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7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7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7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7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-4787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7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7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7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-4787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7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7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7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7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7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7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7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7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7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7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7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7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7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7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7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7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7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7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7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7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7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7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81538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7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7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7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7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81538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7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-4787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7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-3229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7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-3229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7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7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7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7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7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7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7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7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7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7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7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73522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7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7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7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73522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7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7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7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7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7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7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7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7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7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7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7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7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7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7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7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7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7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7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7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7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7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7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6"/>
      <c r="F460" s="264" t="s">
        <v>545</v>
      </c>
    </row>
    <row r="461" spans="3:6" s="261" customFormat="1" ht="15.75">
      <c r="C461" s="316"/>
      <c r="F461" s="264" t="s">
        <v>542</v>
      </c>
    </row>
    <row r="462" spans="3:6" s="261" customFormat="1" ht="15.75">
      <c r="C462" s="316"/>
      <c r="F462" s="264" t="s">
        <v>543</v>
      </c>
    </row>
    <row r="463" spans="3:6" s="261" customFormat="1" ht="15.7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2023-05-30T06:55:31Z</cp:lastPrinted>
  <dcterms:created xsi:type="dcterms:W3CDTF">2006-09-16T00:00:00Z</dcterms:created>
  <dcterms:modified xsi:type="dcterms:W3CDTF">2023-11-28T18:22:05Z</dcterms:modified>
  <cp:category/>
  <cp:version/>
  <cp:contentType/>
  <cp:contentStatus/>
</cp:coreProperties>
</file>